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0490" windowHeight="7155" tabRatio="821" firstSheet="1" activeTab="6"/>
  </bookViews>
  <sheets>
    <sheet name="Mens Saturday Scores" sheetId="1" r:id="rId1"/>
    <sheet name="Womens Saturday Scores" sheetId="8" r:id="rId2"/>
    <sheet name="Individual Men Saturday" sheetId="6" r:id="rId3"/>
    <sheet name="Team Men Saturday" sheetId="7" r:id="rId4"/>
    <sheet name="Individual Women Saturday" sheetId="9" r:id="rId5"/>
    <sheet name="Team Women Saturday" sheetId="10" r:id="rId6"/>
    <sheet name="Men Team Sunday - Final" sheetId="11" r:id="rId7"/>
    <sheet name="Women Team Sunday - Final" sheetId="12" r:id="rId8"/>
  </sheets>
  <definedNames/>
  <calcPr calcId="145621"/>
</workbook>
</file>

<file path=xl/sharedStrings.xml><?xml version="1.0" encoding="utf-8"?>
<sst xmlns="http://schemas.openxmlformats.org/spreadsheetml/2006/main" count="3101" uniqueCount="660">
  <si>
    <t>Game 1</t>
  </si>
  <si>
    <t>Game 2</t>
  </si>
  <si>
    <t>Game 3</t>
  </si>
  <si>
    <t>Team Total</t>
  </si>
  <si>
    <t>Game 4</t>
  </si>
  <si>
    <t>Game 5</t>
  </si>
  <si>
    <t>Game 6</t>
  </si>
  <si>
    <t>Bowler</t>
  </si>
  <si>
    <t>School</t>
  </si>
  <si>
    <t>Game</t>
  </si>
  <si>
    <t>Individual Totals</t>
  </si>
  <si>
    <t>Team Standings</t>
  </si>
  <si>
    <t xml:space="preserve">Ball State University-Varsity </t>
  </si>
  <si>
    <t>Cory Craig</t>
  </si>
  <si>
    <t>Kevin Beemster</t>
  </si>
  <si>
    <t>Travis Pugh</t>
  </si>
  <si>
    <t>Nathan Pugh</t>
  </si>
  <si>
    <t>Bowling Green State University-Varsity</t>
  </si>
  <si>
    <t>Joseph Casement</t>
  </si>
  <si>
    <t>Rob Childs</t>
  </si>
  <si>
    <t>Kyle Waynick</t>
  </si>
  <si>
    <t>John Przyblbyski</t>
  </si>
  <si>
    <t>Josh Bellas</t>
  </si>
  <si>
    <t>Brittan Reichley</t>
  </si>
  <si>
    <t>Cameron Hughes</t>
  </si>
  <si>
    <t>Cameron Brooks</t>
  </si>
  <si>
    <t>Campbellsville  University-Junior Varsity</t>
  </si>
  <si>
    <t>Andrew Lissik</t>
  </si>
  <si>
    <t>Christian Thurman</t>
  </si>
  <si>
    <t>Landon Yazell</t>
  </si>
  <si>
    <t>Campbellsville  University-Varsity</t>
  </si>
  <si>
    <t>Jordan Adams</t>
  </si>
  <si>
    <t>Hudson Haynes</t>
  </si>
  <si>
    <t>Jonathan Lobb</t>
  </si>
  <si>
    <t>Travis London</t>
  </si>
  <si>
    <t>Huntington University-Varsity</t>
  </si>
  <si>
    <t>Joe Miller</t>
  </si>
  <si>
    <t>Tyler Neff</t>
  </si>
  <si>
    <t>Seth Walker</t>
  </si>
  <si>
    <t>Derek Beckler</t>
  </si>
  <si>
    <t>Daniel Miller</t>
  </si>
  <si>
    <t>Connor Brown</t>
  </si>
  <si>
    <t>Huntington Universiity-Junior Varsity</t>
  </si>
  <si>
    <t>Jess Meyers</t>
  </si>
  <si>
    <t>Adam Harris-Shoemaker</t>
  </si>
  <si>
    <t>Colin Madden</t>
  </si>
  <si>
    <t>James Knapp</t>
  </si>
  <si>
    <t>Emilio Chantaca</t>
  </si>
  <si>
    <t>Indiana State University-Varsity</t>
  </si>
  <si>
    <t>Deon Jones Jr</t>
  </si>
  <si>
    <t>Vincent Price</t>
  </si>
  <si>
    <t>Justin Norris</t>
  </si>
  <si>
    <t>Sean Pepper</t>
  </si>
  <si>
    <t>Anthony Guenzel</t>
  </si>
  <si>
    <t>Cody Steele</t>
  </si>
  <si>
    <t>Indiana University Bloomington-Varsity</t>
  </si>
  <si>
    <t>Aaron Neumeyer</t>
  </si>
  <si>
    <t>Cameron Bolinger</t>
  </si>
  <si>
    <t>CJ Brooks</t>
  </si>
  <si>
    <t>Todd Zehner</t>
  </si>
  <si>
    <t>Justin Hamrick</t>
  </si>
  <si>
    <t>Hunter Rubasan</t>
  </si>
  <si>
    <t>Joe Shirey</t>
  </si>
  <si>
    <t>Lindsey Wilson-Varsity</t>
  </si>
  <si>
    <t>Jeffery Hulette</t>
  </si>
  <si>
    <t>Derek Lyons</t>
  </si>
  <si>
    <t>Matt Evans</t>
  </si>
  <si>
    <t>Dustin McMahan</t>
  </si>
  <si>
    <t>John Walker</t>
  </si>
  <si>
    <t>Kawika Glover</t>
  </si>
  <si>
    <t>Andrew Dude</t>
  </si>
  <si>
    <t>Marian University-Varsity</t>
  </si>
  <si>
    <t>Austin Sawvel</t>
  </si>
  <si>
    <t>Zack Carrie</t>
  </si>
  <si>
    <t>Ryan Ventillo</t>
  </si>
  <si>
    <t>Matt Sanders</t>
  </si>
  <si>
    <t>Robert Bevard</t>
  </si>
  <si>
    <t>Bryan Hirt</t>
  </si>
  <si>
    <t>Mason Ward</t>
  </si>
  <si>
    <t>Marian University-Junior Varsity</t>
  </si>
  <si>
    <t>Paul Strack</t>
  </si>
  <si>
    <t>Thomas McClelland</t>
  </si>
  <si>
    <t>Josh Dory</t>
  </si>
  <si>
    <t>Baylen Shoemaker</t>
  </si>
  <si>
    <t>Zach Lawson</t>
  </si>
  <si>
    <t>Michael Smith</t>
  </si>
  <si>
    <t>Robert Perry</t>
  </si>
  <si>
    <t>Martin Methodist-Varsity</t>
  </si>
  <si>
    <t>Michigan State University</t>
  </si>
  <si>
    <t>Kyle Owens</t>
  </si>
  <si>
    <t>Josh Pozan</t>
  </si>
  <si>
    <t>Brady Parr</t>
  </si>
  <si>
    <t>Aaron Radner</t>
  </si>
  <si>
    <t>John Short</t>
  </si>
  <si>
    <t>Dylan Stokes</t>
  </si>
  <si>
    <t>Brock Walquist</t>
  </si>
  <si>
    <t>Morehead State University-Varsity</t>
  </si>
  <si>
    <t>Mark Curtis</t>
  </si>
  <si>
    <t>Devon Miller</t>
  </si>
  <si>
    <t>Matt Hays</t>
  </si>
  <si>
    <t>Cory Schultz</t>
  </si>
  <si>
    <t>Andrew Diley</t>
  </si>
  <si>
    <t>Zach Doty</t>
  </si>
  <si>
    <t>Jacob Yazell</t>
  </si>
  <si>
    <t>Morehead State University-Junior Varsity #1</t>
  </si>
  <si>
    <t>Zac Dicken</t>
  </si>
  <si>
    <t>Morehead State University-Junior Varsity #2</t>
  </si>
  <si>
    <t>Josh Coomer</t>
  </si>
  <si>
    <t>Morehead State University-Junior Varsity #3</t>
  </si>
  <si>
    <t>Zach Schneider</t>
  </si>
  <si>
    <t>Morehead State University-Junior Varsity #4</t>
  </si>
  <si>
    <t xml:space="preserve">Michael McCubbins </t>
  </si>
  <si>
    <t>Morehead State University-Junior Varsity #5</t>
  </si>
  <si>
    <t>Cameron Broadbent</t>
  </si>
  <si>
    <t>Morehead State University-Junior Varsity #6</t>
  </si>
  <si>
    <t>Landon Herm</t>
  </si>
  <si>
    <t>Morehead State University-Junior Varsity #7</t>
  </si>
  <si>
    <t>Stephen Hilowitz</t>
  </si>
  <si>
    <t>Joseph Bush</t>
  </si>
  <si>
    <t>Leonard Littleton</t>
  </si>
  <si>
    <t>Paul Wagner</t>
  </si>
  <si>
    <t>Ryan Cook</t>
  </si>
  <si>
    <t>TylerKuy Kendall</t>
  </si>
  <si>
    <t>Levi Stewart</t>
  </si>
  <si>
    <t>Morehead State University-Junior Varsity #8</t>
  </si>
  <si>
    <t>Patrick Fuda</t>
  </si>
  <si>
    <t>Muskingum University-Varsity</t>
  </si>
  <si>
    <t>Jordan Ross</t>
  </si>
  <si>
    <t>TJ Smith</t>
  </si>
  <si>
    <t>Chase Shipplett</t>
  </si>
  <si>
    <t>Ian West</t>
  </si>
  <si>
    <t>Paul Harris</t>
  </si>
  <si>
    <t>Anthony Kolakowski</t>
  </si>
  <si>
    <t>Isaiah Bell</t>
  </si>
  <si>
    <t>Christopher Evans</t>
  </si>
  <si>
    <t>Northern Kentucky University-Varsity</t>
  </si>
  <si>
    <t>AJ Crone</t>
  </si>
  <si>
    <t>Jake Harris</t>
  </si>
  <si>
    <t>Sean Wadsworth</t>
  </si>
  <si>
    <t>Jake Specht</t>
  </si>
  <si>
    <t>Sean McDaniel</t>
  </si>
  <si>
    <t>James Gravley</t>
  </si>
  <si>
    <t>Ben Brauch</t>
  </si>
  <si>
    <t>Jarrod Elliott</t>
  </si>
  <si>
    <t>Notre Dame College-Varsity</t>
  </si>
  <si>
    <t>Jamie Robinson</t>
  </si>
  <si>
    <t>Tyler Meredith</t>
  </si>
  <si>
    <t>Chris Elizondo</t>
  </si>
  <si>
    <t>Vinny Beller</t>
  </si>
  <si>
    <t>Jeff Wallace</t>
  </si>
  <si>
    <t>Ryan Ashby</t>
  </si>
  <si>
    <t xml:space="preserve">Meeco Walker </t>
  </si>
  <si>
    <t>Casey Cohagen</t>
  </si>
  <si>
    <t>Notre Dame College-Junior Varsity</t>
  </si>
  <si>
    <t>Eric Donovan</t>
  </si>
  <si>
    <t>Will Maus</t>
  </si>
  <si>
    <t>Zach Williams</t>
  </si>
  <si>
    <t>Matt Lyons</t>
  </si>
  <si>
    <t>Daniel Simmons</t>
  </si>
  <si>
    <t>Theo Johnson</t>
  </si>
  <si>
    <t>Logan Meinecke</t>
  </si>
  <si>
    <t>Matt Lozar</t>
  </si>
  <si>
    <t>Purdue University-Varsity</t>
  </si>
  <si>
    <t>Anthony Schmidt</t>
  </si>
  <si>
    <t>Brady Colip</t>
  </si>
  <si>
    <t>Jeff Tinich</t>
  </si>
  <si>
    <t>Kenton Williams</t>
  </si>
  <si>
    <t>Rolando Sebelen</t>
  </si>
  <si>
    <t>Zach Dohner</t>
  </si>
  <si>
    <t>Zach Weidman</t>
  </si>
  <si>
    <t>Purdue University-Junior Varsity Team #1</t>
  </si>
  <si>
    <t>Brian Rizzi</t>
  </si>
  <si>
    <t>Purdue University-Junior Varsity Team #2</t>
  </si>
  <si>
    <t>David Flook</t>
  </si>
  <si>
    <t>Dustin Zehner</t>
  </si>
  <si>
    <t>Fred Hermann</t>
  </si>
  <si>
    <t>Jared Lovins</t>
  </si>
  <si>
    <t>Jim Winkle</t>
  </si>
  <si>
    <t>Nick Corbin</t>
  </si>
  <si>
    <t>Jordan Mellinger</t>
  </si>
  <si>
    <t>Matt Petrovich</t>
  </si>
  <si>
    <t>Michael Stepanovic</t>
  </si>
  <si>
    <t>Lowell Hoskins</t>
  </si>
  <si>
    <t>Nathan Thoman</t>
  </si>
  <si>
    <t>Ryan Dewey</t>
  </si>
  <si>
    <t>Matt Gasn</t>
  </si>
  <si>
    <t>Cameron Weier</t>
  </si>
  <si>
    <t>Tylor Greene</t>
  </si>
  <si>
    <t>Ryan Zagar</t>
  </si>
  <si>
    <t>Kyle King</t>
  </si>
  <si>
    <t>Mason Petrin</t>
  </si>
  <si>
    <t>David Schwartz</t>
  </si>
  <si>
    <t>Trent Mitchell</t>
  </si>
  <si>
    <t>Kenny Ryan</t>
  </si>
  <si>
    <t>Tony Giannicchini</t>
  </si>
  <si>
    <t>Greg Medrano</t>
  </si>
  <si>
    <t>Steven Costa</t>
  </si>
  <si>
    <t xml:space="preserve">Tim Turensek </t>
  </si>
  <si>
    <t xml:space="preserve">Jesse Lopez </t>
  </si>
  <si>
    <t>Ivan Rodriguez</t>
  </si>
  <si>
    <t>Russell Foster</t>
  </si>
  <si>
    <t>Therman Banks</t>
  </si>
  <si>
    <t>Daniel Kimmer</t>
  </si>
  <si>
    <t>Rahn Parks</t>
  </si>
  <si>
    <t>Anthony Pena</t>
  </si>
  <si>
    <t>Joe Leandro</t>
  </si>
  <si>
    <t>Marcus Lockman</t>
  </si>
  <si>
    <t>Robert Morris Unof Illinois-Lake County-Varsity</t>
  </si>
  <si>
    <t>Michael Bain</t>
  </si>
  <si>
    <t>Ryan Reitmayer</t>
  </si>
  <si>
    <t>Shane Connor</t>
  </si>
  <si>
    <t>Obed Rodriguez</t>
  </si>
  <si>
    <t>Bryan McClain</t>
  </si>
  <si>
    <t>Corey Durham</t>
  </si>
  <si>
    <t>Robert Bontoletto</t>
  </si>
  <si>
    <t>John Bontoletto</t>
  </si>
  <si>
    <t>Lucas Smothers</t>
  </si>
  <si>
    <t>Michael Stolze</t>
  </si>
  <si>
    <t>Charles Orman</t>
  </si>
  <si>
    <t>Zach Range</t>
  </si>
  <si>
    <t>Michael Selvie</t>
  </si>
  <si>
    <t>St Ambrose University-Varsity</t>
  </si>
  <si>
    <t>Cody Brandau</t>
  </si>
  <si>
    <t>Kyle Anderson</t>
  </si>
  <si>
    <t>Josh Anderson</t>
  </si>
  <si>
    <t>Joe Kopera</t>
  </si>
  <si>
    <t>Ryan Keith</t>
  </si>
  <si>
    <t>Adam Morse</t>
  </si>
  <si>
    <t>Kyle Krol</t>
  </si>
  <si>
    <t>Josh Powell</t>
  </si>
  <si>
    <t>The Ohio State University-Varsity</t>
  </si>
  <si>
    <t>Andy Henrich</t>
  </si>
  <si>
    <t>Kyler McDonald</t>
  </si>
  <si>
    <t>Drew Gray</t>
  </si>
  <si>
    <t>Zac Novak</t>
  </si>
  <si>
    <t>Collin Millar</t>
  </si>
  <si>
    <t>Collin Velasquez</t>
  </si>
  <si>
    <t>Ben Sobel</t>
  </si>
  <si>
    <t>The Ohio State University-Junior Varsity</t>
  </si>
  <si>
    <t>Ethan Howell</t>
  </si>
  <si>
    <t>Carson Turjanica</t>
  </si>
  <si>
    <t>Zack Miculka</t>
  </si>
  <si>
    <t>Gabe Merk</t>
  </si>
  <si>
    <t>Adam Dues</t>
  </si>
  <si>
    <t>Wayne Apgar</t>
  </si>
  <si>
    <t>Davis Mueller</t>
  </si>
  <si>
    <t>University of Cincinnati-Varsity</t>
  </si>
  <si>
    <t>Zachary Souder</t>
  </si>
  <si>
    <t>Andrew Bridges</t>
  </si>
  <si>
    <t>Brittany Baumer*</t>
  </si>
  <si>
    <t>Bradley Baumer</t>
  </si>
  <si>
    <t>Andrea Sizemore*</t>
  </si>
  <si>
    <t>Maddie Nieman*</t>
  </si>
  <si>
    <t>Katie Minning*</t>
  </si>
  <si>
    <t>Lindsey Gehlenborg*</t>
  </si>
  <si>
    <t>University of Illinois-Urbana-Varsity</t>
  </si>
  <si>
    <t>Steven Bowden</t>
  </si>
  <si>
    <t>Kyle Redden</t>
  </si>
  <si>
    <t>Andrew Lawson</t>
  </si>
  <si>
    <t>Bryan Stajura</t>
  </si>
  <si>
    <t>Brett Herrmann</t>
  </si>
  <si>
    <t>Michael Saucedo</t>
  </si>
  <si>
    <t>Ethan Seaman</t>
  </si>
  <si>
    <t>University of Illinois-Urbana-Junior Varsity</t>
  </si>
  <si>
    <t>Brad Snyder</t>
  </si>
  <si>
    <t>Brandon Carter</t>
  </si>
  <si>
    <t>Logan Rowe</t>
  </si>
  <si>
    <t>Jamie Pu</t>
  </si>
  <si>
    <t>George Papadakis</t>
  </si>
  <si>
    <t xml:space="preserve">Harish Chebrolu </t>
  </si>
  <si>
    <t xml:space="preserve">Tyler Foerster </t>
  </si>
  <si>
    <t>University of Louisville-Varsity</t>
  </si>
  <si>
    <t>Kyle Abell</t>
  </si>
  <si>
    <t>Mike Freibert</t>
  </si>
  <si>
    <t>Tori Hill</t>
  </si>
  <si>
    <t>Kiefer Hillerich</t>
  </si>
  <si>
    <t>Amber Kleitz*</t>
  </si>
  <si>
    <t>Briana Linney*</t>
  </si>
  <si>
    <t>University of Michigan-Ann Arbor-Varsity</t>
  </si>
  <si>
    <t>Nickolas Robison</t>
  </si>
  <si>
    <t>Andrew Hall</t>
  </si>
  <si>
    <t>Austin Like</t>
  </si>
  <si>
    <t>Andrew Venturini</t>
  </si>
  <si>
    <t>Abed Daher</t>
  </si>
  <si>
    <t>Zach Adams</t>
  </si>
  <si>
    <t>Sydney Ohl*</t>
  </si>
  <si>
    <t>Thomas Marcus</t>
  </si>
  <si>
    <t>Michale Dertz</t>
  </si>
  <si>
    <t>Josh Glover</t>
  </si>
  <si>
    <t>Byron Lawson</t>
  </si>
  <si>
    <t>David McManus</t>
  </si>
  <si>
    <t>Jeff Nicholas</t>
  </si>
  <si>
    <t>Peter Switalski</t>
  </si>
  <si>
    <t>Justin Vandenburg</t>
  </si>
  <si>
    <t>Bryan Blair</t>
  </si>
  <si>
    <t>Stephen Vaughn</t>
  </si>
  <si>
    <t>Patrick Karli</t>
  </si>
  <si>
    <t>Sam Marcotte</t>
  </si>
  <si>
    <t>Trenton Saucedo</t>
  </si>
  <si>
    <t>Jesus Reyes</t>
  </si>
  <si>
    <t>Taveon Roberson</t>
  </si>
  <si>
    <t>Ken Vande Werken</t>
  </si>
  <si>
    <t>Vincennes University-Varsity</t>
  </si>
  <si>
    <t>Will Boston</t>
  </si>
  <si>
    <t xml:space="preserve">Mat tDzikiewicz </t>
  </si>
  <si>
    <t xml:space="preserve">JesseGibson </t>
  </si>
  <si>
    <t xml:space="preserve">Ryan Olson </t>
  </si>
  <si>
    <t>Tyler Show</t>
  </si>
  <si>
    <t>Corey Umbrello</t>
  </si>
  <si>
    <t>Vincennes University-Junior Varsity</t>
  </si>
  <si>
    <t>Shawn Fitzpatrick</t>
  </si>
  <si>
    <t>Kyle Ortiz</t>
  </si>
  <si>
    <t>Thomas Pappa</t>
  </si>
  <si>
    <t>Jacob Rubach</t>
  </si>
  <si>
    <t>Ryan Schroeder</t>
  </si>
  <si>
    <t>Justin Sligar</t>
  </si>
  <si>
    <t>William Penn University-Varsity</t>
  </si>
  <si>
    <t>Jaques Kaune</t>
  </si>
  <si>
    <t>Conan Mackey</t>
  </si>
  <si>
    <t>Ryan Howard</t>
  </si>
  <si>
    <t>Kyle Clark</t>
  </si>
  <si>
    <t>TravisScott</t>
  </si>
  <si>
    <t>Michael Applegate</t>
  </si>
  <si>
    <t>Shane Strowmatt</t>
  </si>
  <si>
    <t>Lucas Perdieu</t>
  </si>
  <si>
    <t>William Penn University-Junior Varsity</t>
  </si>
  <si>
    <t>Connor Frederick</t>
  </si>
  <si>
    <t>Kevin Wesley</t>
  </si>
  <si>
    <t>Shan Hoff</t>
  </si>
  <si>
    <t>Cody Adair</t>
  </si>
  <si>
    <t>Jordan Lowery</t>
  </si>
  <si>
    <t>Chris Brown</t>
  </si>
  <si>
    <t xml:space="preserve">Alma College-Varsity </t>
  </si>
  <si>
    <t>Heather Lafnear</t>
  </si>
  <si>
    <t>Tina Ripley</t>
  </si>
  <si>
    <t>Amber Tuttle</t>
  </si>
  <si>
    <t>Jessica Cords</t>
  </si>
  <si>
    <t>Lillie Miller</t>
  </si>
  <si>
    <t>Brianna Pitre</t>
  </si>
  <si>
    <t>Catherine Pomeroy</t>
  </si>
  <si>
    <t>Ball State University-Varsity</t>
  </si>
  <si>
    <t>Courtney Hildreth</t>
  </si>
  <si>
    <t>Mary Burton</t>
  </si>
  <si>
    <t>Kayla Thompson</t>
  </si>
  <si>
    <t>Amber Drake</t>
  </si>
  <si>
    <t>Amber Montejano</t>
  </si>
  <si>
    <t>Allye Clayton</t>
  </si>
  <si>
    <t>Kayla Meadows</t>
  </si>
  <si>
    <t>Kayla Miller</t>
  </si>
  <si>
    <t>Mikayla Young</t>
  </si>
  <si>
    <t>Trinnity Jackson</t>
  </si>
  <si>
    <t>Brittney Poling</t>
  </si>
  <si>
    <t>Kristina Jones</t>
  </si>
  <si>
    <t>Bowling Green State University-Junior Varsity</t>
  </si>
  <si>
    <t>Maria Linthieum</t>
  </si>
  <si>
    <t>Emily Elston</t>
  </si>
  <si>
    <t>Miranda Romano</t>
  </si>
  <si>
    <t>Sarah Hoberman</t>
  </si>
  <si>
    <t>Calumet College of St Joseph-Varsity</t>
  </si>
  <si>
    <t>Stephanie Briggs</t>
  </si>
  <si>
    <t>Briana Billsborough</t>
  </si>
  <si>
    <t xml:space="preserve">Candice Tovo </t>
  </si>
  <si>
    <t xml:space="preserve">Kelsy Toth </t>
  </si>
  <si>
    <t xml:space="preserve">Porsche Chartrand </t>
  </si>
  <si>
    <t>Kayla Riffle</t>
  </si>
  <si>
    <t>Calumet College of St Joseph-Junior Varsity</t>
  </si>
  <si>
    <t>Brianna Ferro</t>
  </si>
  <si>
    <t>Carla Washington</t>
  </si>
  <si>
    <t>Victoria Borowski</t>
  </si>
  <si>
    <t>Alyssa Bogolin</t>
  </si>
  <si>
    <t>Lauren Hart</t>
  </si>
  <si>
    <t>Natalie Pascual</t>
  </si>
  <si>
    <t>Campbellsville University-Junior Varsity</t>
  </si>
  <si>
    <t>Ashley Newman</t>
  </si>
  <si>
    <t>Emily Florence</t>
  </si>
  <si>
    <t>Shelby Smith</t>
  </si>
  <si>
    <t>Aleesia Hunt</t>
  </si>
  <si>
    <t>Mercedes Cote</t>
  </si>
  <si>
    <t>Meredith Eastham</t>
  </si>
  <si>
    <t>Campbellsville University-Varsity</t>
  </si>
  <si>
    <t>Chelsey Stephens</t>
  </si>
  <si>
    <t>Keysha Martin</t>
  </si>
  <si>
    <t>Crystal Land</t>
  </si>
  <si>
    <t>Kylah Martin</t>
  </si>
  <si>
    <t>Haley Roehl</t>
  </si>
  <si>
    <t>Elmhurst College-Vasrity</t>
  </si>
  <si>
    <t>Mikayla Auerswald</t>
  </si>
  <si>
    <t>Beth Bogdanich</t>
  </si>
  <si>
    <t>Fatima Gonzalez</t>
  </si>
  <si>
    <t>Barbara Gutwein</t>
  </si>
  <si>
    <t>Megan Schmeller</t>
  </si>
  <si>
    <t>Marissa Soverino</t>
  </si>
  <si>
    <t>Ayla Yeiter</t>
  </si>
  <si>
    <t>Emerald Leong</t>
  </si>
  <si>
    <t>Brooke Ewing</t>
  </si>
  <si>
    <t>Shelby New</t>
  </si>
  <si>
    <t>Rachel Vogler</t>
  </si>
  <si>
    <t>Emily O'Leary</t>
  </si>
  <si>
    <t>Huntington University-Junior Varsity</t>
  </si>
  <si>
    <t>Reba Morehouse</t>
  </si>
  <si>
    <t>Casandra Griffith</t>
  </si>
  <si>
    <t>Lauren Smart</t>
  </si>
  <si>
    <t>Ciara Lovell</t>
  </si>
  <si>
    <t>Julia Walton</t>
  </si>
  <si>
    <t>Shelby Stewart</t>
  </si>
  <si>
    <t>Haley White</t>
  </si>
  <si>
    <t>Jessica Campbell</t>
  </si>
  <si>
    <t>Hannah Carty</t>
  </si>
  <si>
    <t>Taylor Guoli</t>
  </si>
  <si>
    <t>Katie Goekler</t>
  </si>
  <si>
    <t>Lani Troxel</t>
  </si>
  <si>
    <t>Kayla Ziese</t>
  </si>
  <si>
    <t>Lindsay Wilson-Varsity</t>
  </si>
  <si>
    <t>Amber Clark</t>
  </si>
  <si>
    <t>Jerrica Shannon</t>
  </si>
  <si>
    <t>Megan Minch</t>
  </si>
  <si>
    <t>Becca Himebaugh</t>
  </si>
  <si>
    <t>JaCinda Warner</t>
  </si>
  <si>
    <t xml:space="preserve">Carissa Engle </t>
  </si>
  <si>
    <t>Heather Franks</t>
  </si>
  <si>
    <t xml:space="preserve">Denise Frank </t>
  </si>
  <si>
    <t>Emily Koulis</t>
  </si>
  <si>
    <t>Nicole Walton</t>
  </si>
  <si>
    <t>Amber Thompson</t>
  </si>
  <si>
    <t>Brandi Underwood</t>
  </si>
  <si>
    <t>Lindsey Fogliasso</t>
  </si>
  <si>
    <t>Jessica Neu</t>
  </si>
  <si>
    <t>Jessica Colson</t>
  </si>
  <si>
    <t>Kelly Leyba</t>
  </si>
  <si>
    <t>Kodilee Underwood</t>
  </si>
  <si>
    <t>Taylor Davis</t>
  </si>
  <si>
    <t>Samantha Koch</t>
  </si>
  <si>
    <t>Caeara Terhune</t>
  </si>
  <si>
    <t>Michigan State University-Varsity</t>
  </si>
  <si>
    <t>Morgan Davis</t>
  </si>
  <si>
    <t>Casey Grody</t>
  </si>
  <si>
    <t>Emiley Kaczmarczyk</t>
  </si>
  <si>
    <t>Brianna Moore</t>
  </si>
  <si>
    <t>Meghan Petipren</t>
  </si>
  <si>
    <t>Stephanie Sleda</t>
  </si>
  <si>
    <t>Lauren Tamm</t>
  </si>
  <si>
    <t>Stephanie Carson</t>
  </si>
  <si>
    <t>Kaitlyn Kinnaird</t>
  </si>
  <si>
    <t>Tiffani Richards</t>
  </si>
  <si>
    <t>Carlie Sawyer</t>
  </si>
  <si>
    <t xml:space="preserve">Shelby McClure </t>
  </si>
  <si>
    <t xml:space="preserve">Alicia Alguire </t>
  </si>
  <si>
    <t>Patsy Tyo</t>
  </si>
  <si>
    <t>Krista Anderson</t>
  </si>
  <si>
    <t>Summer Finley</t>
  </si>
  <si>
    <t>Hannah Houser</t>
  </si>
  <si>
    <t>Kaityln Lebovitz</t>
  </si>
  <si>
    <t>Morgan Alden</t>
  </si>
  <si>
    <t>Rachel Ritzinger</t>
  </si>
  <si>
    <t>Elizabeth Reed</t>
  </si>
  <si>
    <t>Maddison Hooper</t>
  </si>
  <si>
    <t>Brittany Ferrara</t>
  </si>
  <si>
    <t>Megan Freed</t>
  </si>
  <si>
    <t>Emily Henceroth</t>
  </si>
  <si>
    <t>Natalie Briganti</t>
  </si>
  <si>
    <t>Autumn Heaton</t>
  </si>
  <si>
    <t xml:space="preserve">Taylor Sturm </t>
  </si>
  <si>
    <t>Brittany Cox</t>
  </si>
  <si>
    <t>Sam Buchanan</t>
  </si>
  <si>
    <t>Hannah Vandergrift</t>
  </si>
  <si>
    <t>Octavia Sanders</t>
  </si>
  <si>
    <t>Abigail Cohagan</t>
  </si>
  <si>
    <t>Antionette Prieto</t>
  </si>
  <si>
    <t>Autumn Miller</t>
  </si>
  <si>
    <t>Megan Reust</t>
  </si>
  <si>
    <t>Miranda Mott</t>
  </si>
  <si>
    <t>Victoria Mills</t>
  </si>
  <si>
    <t>Robert Morris Univ. of Illinois-Varsity</t>
  </si>
  <si>
    <t>Leea Haworth</t>
  </si>
  <si>
    <t>Courtney Dutton</t>
  </si>
  <si>
    <t>Stephanie Cieslewicz</t>
  </si>
  <si>
    <t>Bethany Duchowny</t>
  </si>
  <si>
    <t>Courtney Johnston</t>
  </si>
  <si>
    <t>Mikayla Guernsey</t>
  </si>
  <si>
    <t>Robert Morris Univ of Illinois-Junior Varsity Tm #1</t>
  </si>
  <si>
    <t>Danielle Sikorski</t>
  </si>
  <si>
    <t>Renaqua Bell</t>
  </si>
  <si>
    <t>Kylee Fredericks</t>
  </si>
  <si>
    <t>Nicole Williams</t>
  </si>
  <si>
    <t>Allyson Lakota</t>
  </si>
  <si>
    <t>Carson Hendren</t>
  </si>
  <si>
    <t>Robert Morris Univ of Illinois-Junior Varsity Tm #2</t>
  </si>
  <si>
    <t>Melyssa Donovan</t>
  </si>
  <si>
    <t>Ritzel Velarde</t>
  </si>
  <si>
    <t>Lanaea Malak</t>
  </si>
  <si>
    <t>Kailey Kopacz</t>
  </si>
  <si>
    <t>Casey Collins</t>
  </si>
  <si>
    <t>Angela Palomar</t>
  </si>
  <si>
    <t>Robert Morris Univ of Illinois-Springfield-Varsity</t>
  </si>
  <si>
    <t>Chelsie Finch</t>
  </si>
  <si>
    <t>Rachel Douglas</t>
  </si>
  <si>
    <t>Jessica Rancourt</t>
  </si>
  <si>
    <t>Haley Baser</t>
  </si>
  <si>
    <t>Hannah Moore</t>
  </si>
  <si>
    <t>Catie Bell</t>
  </si>
  <si>
    <t>Angel Srisaard</t>
  </si>
  <si>
    <t>Olivia Littleton</t>
  </si>
  <si>
    <t>Spalding University-Varsity</t>
  </si>
  <si>
    <t>Breanne Cura</t>
  </si>
  <si>
    <t>Kayla Rauschaert</t>
  </si>
  <si>
    <t>Brianna Price</t>
  </si>
  <si>
    <t>Grabrielle Turner</t>
  </si>
  <si>
    <t>Shelby Thompson</t>
  </si>
  <si>
    <t>Annie Beliles</t>
  </si>
  <si>
    <t>Lindsay Corner</t>
  </si>
  <si>
    <t>Shelby Derr</t>
  </si>
  <si>
    <t>Ashley Howe-Yorio</t>
  </si>
  <si>
    <t>Christina Leid</t>
  </si>
  <si>
    <t>Briana Ord</t>
  </si>
  <si>
    <t>Sarah Ross</t>
  </si>
  <si>
    <t>Jacqueline Ashby</t>
  </si>
  <si>
    <t>Taylor Forman</t>
  </si>
  <si>
    <t>Kylie Humbertson</t>
  </si>
  <si>
    <t>Samantha Knight</t>
  </si>
  <si>
    <t>Hannah Schorr</t>
  </si>
  <si>
    <t>Madeline Jouris</t>
  </si>
  <si>
    <t>Bobbi Jo Buhlman</t>
  </si>
  <si>
    <t>Stephanie Tirado</t>
  </si>
  <si>
    <t>Tiffany Rohena</t>
  </si>
  <si>
    <t>Amber Granzow</t>
  </si>
  <si>
    <t>Hayley Ryan</t>
  </si>
  <si>
    <t>Amanda McMillan</t>
  </si>
  <si>
    <t>Amy Stanfill</t>
  </si>
  <si>
    <t>Molly Crouch</t>
  </si>
  <si>
    <t>Allison Lamm</t>
  </si>
  <si>
    <t>Nicole Seibel</t>
  </si>
  <si>
    <t>Chelsea Ewing</t>
  </si>
  <si>
    <t>University of Illinois Urbana-Varsity</t>
  </si>
  <si>
    <t>Catherine Lawrence</t>
  </si>
  <si>
    <t>Lauren Reed</t>
  </si>
  <si>
    <t>Haleigh Draper</t>
  </si>
  <si>
    <t>Vanessa Chen</t>
  </si>
  <si>
    <t>Kelly Sarna</t>
  </si>
  <si>
    <t>Amanda Miranda</t>
  </si>
  <si>
    <t>Sandra Persson</t>
  </si>
  <si>
    <t>Morgan Flaherty</t>
  </si>
  <si>
    <t>Courtney Fowler</t>
  </si>
  <si>
    <t>Sara Michalowicz</t>
  </si>
  <si>
    <t>Taylor Wilmoth</t>
  </si>
  <si>
    <t>Ariel Beja</t>
  </si>
  <si>
    <t>Sarah Klawitter</t>
  </si>
  <si>
    <t>Ashley Montgomery</t>
  </si>
  <si>
    <t>Katie Nork</t>
  </si>
  <si>
    <t>Katelyn Radovich</t>
  </si>
  <si>
    <t>Sam  Sayre</t>
  </si>
  <si>
    <t>Katie Utsch</t>
  </si>
  <si>
    <t>Montana Pence</t>
  </si>
  <si>
    <t>Niona Bruce</t>
  </si>
  <si>
    <t>Briell Newberry</t>
  </si>
  <si>
    <t>Kelsey Johnson</t>
  </si>
  <si>
    <t>Stephanie Adams</t>
  </si>
  <si>
    <t>Cybill Lennie</t>
  </si>
  <si>
    <t>Emily Braga</t>
  </si>
  <si>
    <t>Kaelee Founain</t>
  </si>
  <si>
    <t>Brandon Runk</t>
  </si>
  <si>
    <t>AJ Ruff</t>
  </si>
  <si>
    <t>Derek Phillips</t>
  </si>
  <si>
    <t>Justin Miller</t>
  </si>
  <si>
    <t>Eli Haddock</t>
  </si>
  <si>
    <t>Jason Pavlinko</t>
  </si>
  <si>
    <t>Tim Hartigan</t>
  </si>
  <si>
    <t>Sandra Smith</t>
  </si>
  <si>
    <t>Shannon Smith</t>
  </si>
  <si>
    <t>Ashley Burns</t>
  </si>
  <si>
    <t>Mallory Caraway</t>
  </si>
  <si>
    <t>Regina Laglia</t>
  </si>
  <si>
    <t>Cody Shaw</t>
  </si>
  <si>
    <t>Summer Stephens</t>
  </si>
  <si>
    <t>Louisa Velez</t>
  </si>
  <si>
    <t>Brittany Kolatzny</t>
  </si>
  <si>
    <t>Kelsea Reichard</t>
  </si>
  <si>
    <t>Robert Morris University of Illinois-Eagles</t>
  </si>
  <si>
    <t>Daniel Ullunbrauck</t>
  </si>
  <si>
    <t>Robert Morris University of Illinois-Gold</t>
  </si>
  <si>
    <t>Robert Morris University of Illinois-Maroon</t>
  </si>
  <si>
    <t>Ryan Bremer</t>
  </si>
  <si>
    <t>Jake Hafermalz</t>
  </si>
  <si>
    <t>James Weber</t>
  </si>
  <si>
    <t>Justin Nelson</t>
  </si>
  <si>
    <t>Kaylee Kaminski</t>
  </si>
  <si>
    <t>Justice Burchett</t>
  </si>
  <si>
    <t>Alan Hoskins</t>
  </si>
  <si>
    <t>Jake Neely</t>
  </si>
  <si>
    <t>Kyle Bonnell</t>
  </si>
  <si>
    <t>Steven Burr</t>
  </si>
  <si>
    <t>Brendan Fank</t>
  </si>
  <si>
    <t>Bryan Gorman</t>
  </si>
  <si>
    <t>Michael Myers</t>
  </si>
  <si>
    <t>Brendan Pick</t>
  </si>
  <si>
    <t>Christo Rice</t>
  </si>
  <si>
    <t>Mikaid Stewart</t>
  </si>
  <si>
    <t>Brandon Chapman</t>
  </si>
  <si>
    <t>Andrew Handler</t>
  </si>
  <si>
    <t>Jon Heimann</t>
  </si>
  <si>
    <t>Tim Heimann</t>
  </si>
  <si>
    <t>Scott Hill</t>
  </si>
  <si>
    <t>Reid Landis</t>
  </si>
  <si>
    <t>Jessie Mapp III</t>
  </si>
  <si>
    <t>James Vanderjack</t>
  </si>
  <si>
    <t>Craig Monroe</t>
  </si>
  <si>
    <t>Jake pauletto</t>
  </si>
  <si>
    <t>Eli Kapres</t>
  </si>
  <si>
    <t>Nick Kros</t>
  </si>
  <si>
    <t>Ryan Reikowski</t>
  </si>
  <si>
    <t>Cory Rissman</t>
  </si>
  <si>
    <t>Mens - Team Standings</t>
  </si>
  <si>
    <t>Kyle Reese</t>
  </si>
  <si>
    <t>Southern Illinois University - EdwardsvilleVarsity</t>
  </si>
  <si>
    <t>Pins behind 1st</t>
  </si>
  <si>
    <t>Robert Dawson</t>
  </si>
  <si>
    <t>Score</t>
  </si>
  <si>
    <t>2014 Storm Western Shootout</t>
  </si>
  <si>
    <t>MEN'S TEAM SCORES</t>
  </si>
  <si>
    <t>POS</t>
  </si>
  <si>
    <t>SCHOOL</t>
  </si>
  <si>
    <t>Saturday</t>
  </si>
  <si>
    <t>Baker 1</t>
  </si>
  <si>
    <t>Baker 2</t>
  </si>
  <si>
    <t>Baker 3</t>
  </si>
  <si>
    <t>Baker 4</t>
  </si>
  <si>
    <t>TOTAL</t>
  </si>
  <si>
    <t>WOMEN'S TEAM SCORES</t>
  </si>
  <si>
    <t>Saint Francis University (PA) - Varsity</t>
  </si>
  <si>
    <t>University of St Francis (IL) - Varsity</t>
  </si>
  <si>
    <t>Saint Francis University (PA) - Junior Varsity</t>
  </si>
  <si>
    <t>University of St Francis (IL) - Junior Varsity</t>
  </si>
  <si>
    <t>Northern Kentucky University</t>
  </si>
  <si>
    <t>Brittany Friars</t>
  </si>
  <si>
    <t>Rachel Bianuculi</t>
  </si>
  <si>
    <t>Crystal Hethinger</t>
  </si>
  <si>
    <t>Brandie Jo Tinlin</t>
  </si>
  <si>
    <t>Ellen Moller</t>
  </si>
  <si>
    <t>Hannah Golewski</t>
  </si>
  <si>
    <t>Caitlin Hofmann</t>
  </si>
  <si>
    <t>Lauren Troha</t>
  </si>
  <si>
    <t>Nicole Troha</t>
  </si>
  <si>
    <t>Jordan Mastin</t>
  </si>
  <si>
    <t>Erica Biddle</t>
  </si>
  <si>
    <t>Cat Redden</t>
  </si>
  <si>
    <t>Hannah Morris</t>
  </si>
  <si>
    <t>Emily Harrison</t>
  </si>
  <si>
    <t>Womens - Team Standings</t>
  </si>
  <si>
    <t>University of St Francis-Varsity - IL</t>
  </si>
  <si>
    <t>University of St Francis-Junior Varsity - IL</t>
  </si>
  <si>
    <t>University of St Francis-IL-Varsity</t>
  </si>
  <si>
    <t>University of St Francis-IL-Junior Varsity</t>
  </si>
  <si>
    <t>Saint Francis University-PA-Varsity</t>
  </si>
  <si>
    <t>Saint Francis University-PA-Junior Varsity</t>
  </si>
  <si>
    <t>Pins Behind 1st</t>
  </si>
  <si>
    <t>Lakeisha Hudson</t>
  </si>
  <si>
    <t>Lindenwood University Belleville -  Junior Varsity</t>
  </si>
  <si>
    <t>Lindenwood University Belleville - Varsity</t>
  </si>
  <si>
    <t>Lindenwood University Belleville - Junior Varsity</t>
  </si>
  <si>
    <t>Lindenwood University  Belleville - Varsity</t>
  </si>
  <si>
    <t>Lindenwood University Lindenwood -  Junior Varsity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</si>
</sst>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i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Franklin Gothic Book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0" fillId="3" borderId="2" applyNumberFormat="0" applyFont="0" applyAlignment="0" applyProtection="0"/>
    <xf numFmtId="0" fontId="1" fillId="0" borderId="0">
      <alignment/>
      <protection/>
    </xf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2" xfId="21" applyFont="1" applyAlignment="1">
      <alignment horizontal="center" vertical="center"/>
    </xf>
    <xf numFmtId="0" fontId="3" fillId="3" borderId="2" xfId="21" applyFont="1" applyAlignment="1">
      <alignment horizontal="center" vertical="center"/>
    </xf>
    <xf numFmtId="0" fontId="2" fillId="2" borderId="1" xfId="20" applyFont="1" applyAlignment="1">
      <alignment horizontal="center" vertical="center"/>
    </xf>
    <xf numFmtId="0" fontId="4" fillId="2" borderId="1" xfId="20" applyFont="1" applyAlignment="1">
      <alignment horizontal="center" vertical="center"/>
    </xf>
    <xf numFmtId="0" fontId="2" fillId="2" borderId="1" xfId="20" applyAlignment="1">
      <alignment horizontal="center" vertical="center"/>
    </xf>
    <xf numFmtId="0" fontId="0" fillId="3" borderId="2" xfId="2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6" fillId="0" borderId="5" xfId="0" applyFont="1" applyBorder="1"/>
    <xf numFmtId="0" fontId="13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Border="1"/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0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put" xfId="20"/>
    <cellStyle name="Note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0</xdr:rowOff>
    </xdr:from>
    <xdr:to>
      <xdr:col>1</xdr:col>
      <xdr:colOff>1590675</xdr:colOff>
      <xdr:row>2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3450" y="0"/>
          <a:ext cx="1162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1476375</xdr:colOff>
      <xdr:row>0</xdr:row>
      <xdr:rowOff>9525</xdr:rowOff>
    </xdr:from>
    <xdr:to>
      <xdr:col>1</xdr:col>
      <xdr:colOff>2771775</xdr:colOff>
      <xdr:row>3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81200" y="9525"/>
          <a:ext cx="12954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2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1"/>
  <sheetViews>
    <sheetView zoomScale="85" zoomScaleNormal="85" workbookViewId="0" topLeftCell="A335">
      <selection activeCell="A346" sqref="A346:A353"/>
    </sheetView>
  </sheetViews>
  <sheetFormatPr defaultColWidth="17.00390625" defaultRowHeight="15"/>
  <cols>
    <col min="1" max="1" width="47.421875" style="3" bestFit="1" customWidth="1"/>
    <col min="2" max="2" width="23.8515625" style="3" bestFit="1" customWidth="1"/>
    <col min="3" max="3" width="7.7109375" style="3" bestFit="1" customWidth="1"/>
    <col min="4" max="8" width="7.28125" style="3" bestFit="1" customWidth="1"/>
    <col min="9" max="9" width="14.8515625" style="2" bestFit="1" customWidth="1"/>
    <col min="10" max="10" width="4.7109375" style="0" customWidth="1"/>
    <col min="11" max="11" width="7.28125" style="3" bestFit="1" customWidth="1"/>
    <col min="12" max="12" width="10.28125" style="2" bestFit="1" customWidth="1"/>
    <col min="13" max="13" width="5.28125" style="0" customWidth="1"/>
    <col min="14" max="14" width="45.28125" style="3" bestFit="1" customWidth="1"/>
    <col min="15" max="15" width="5.140625" style="2" bestFit="1" customWidth="1"/>
    <col min="16" max="16384" width="17.00390625" style="3" customWidth="1"/>
  </cols>
  <sheetData>
    <row r="1" spans="1:15" s="2" customFormat="1" ht="15">
      <c r="A1" s="2" t="s">
        <v>8</v>
      </c>
      <c r="B1" s="2" t="s">
        <v>7</v>
      </c>
      <c r="C1" s="2" t="s">
        <v>0</v>
      </c>
      <c r="D1" s="2" t="s">
        <v>1</v>
      </c>
      <c r="E1" s="2" t="s">
        <v>2</v>
      </c>
      <c r="F1" s="2" t="s">
        <v>4</v>
      </c>
      <c r="G1" s="2" t="s">
        <v>5</v>
      </c>
      <c r="H1" s="2" t="s">
        <v>6</v>
      </c>
      <c r="I1" s="2" t="s">
        <v>10</v>
      </c>
      <c r="J1"/>
      <c r="K1" s="2" t="s">
        <v>9</v>
      </c>
      <c r="L1" s="2" t="s">
        <v>3</v>
      </c>
      <c r="M1"/>
      <c r="N1" s="42" t="s">
        <v>11</v>
      </c>
      <c r="O1" s="42"/>
    </row>
    <row r="2" spans="1:15" ht="15">
      <c r="A2" s="4" t="s">
        <v>12</v>
      </c>
      <c r="B2" s="4" t="s">
        <v>13</v>
      </c>
      <c r="C2" s="4">
        <v>207</v>
      </c>
      <c r="D2" s="4">
        <v>203</v>
      </c>
      <c r="E2" s="4">
        <v>171</v>
      </c>
      <c r="F2" s="4">
        <v>125</v>
      </c>
      <c r="G2" s="4"/>
      <c r="H2" s="4"/>
      <c r="I2" s="5">
        <f aca="true" t="shared" si="0" ref="I2:I9">SUM(C2:H2)</f>
        <v>706</v>
      </c>
      <c r="K2" s="4" t="s">
        <v>0</v>
      </c>
      <c r="L2" s="5">
        <f>SUM(C2:C9)</f>
        <v>826</v>
      </c>
      <c r="N2" s="9" t="str">
        <f>A2</f>
        <v xml:space="preserve">Ball State University-Varsity </v>
      </c>
      <c r="O2" s="5">
        <f>SUM(L2:L7)</f>
        <v>5230</v>
      </c>
    </row>
    <row r="3" spans="1:15" ht="15">
      <c r="A3" s="4" t="s">
        <v>12</v>
      </c>
      <c r="B3" s="4" t="s">
        <v>14</v>
      </c>
      <c r="C3" s="4"/>
      <c r="D3" s="4">
        <v>161</v>
      </c>
      <c r="E3" s="4">
        <v>159</v>
      </c>
      <c r="F3" s="4">
        <v>214</v>
      </c>
      <c r="G3" s="4">
        <v>135</v>
      </c>
      <c r="H3" s="4">
        <v>166</v>
      </c>
      <c r="I3" s="5">
        <f t="shared" si="0"/>
        <v>835</v>
      </c>
      <c r="K3" s="4" t="s">
        <v>1</v>
      </c>
      <c r="L3" s="5">
        <f>SUM(D2:D9)</f>
        <v>896</v>
      </c>
      <c r="N3" s="9"/>
      <c r="O3" s="5"/>
    </row>
    <row r="4" spans="1:15" ht="15">
      <c r="A4" s="4" t="s">
        <v>12</v>
      </c>
      <c r="B4" s="4" t="s">
        <v>15</v>
      </c>
      <c r="C4" s="4">
        <v>126</v>
      </c>
      <c r="D4" s="4"/>
      <c r="E4" s="4"/>
      <c r="F4" s="4"/>
      <c r="G4" s="4"/>
      <c r="H4" s="4"/>
      <c r="I4" s="5">
        <f t="shared" si="0"/>
        <v>126</v>
      </c>
      <c r="K4" s="4" t="s">
        <v>2</v>
      </c>
      <c r="L4" s="5">
        <f>SUM(E2:E9)</f>
        <v>888</v>
      </c>
      <c r="N4" s="9"/>
      <c r="O4" s="5"/>
    </row>
    <row r="5" spans="1:15" ht="15">
      <c r="A5" s="4" t="s">
        <v>12</v>
      </c>
      <c r="B5" s="4" t="s">
        <v>16</v>
      </c>
      <c r="C5" s="4">
        <v>169</v>
      </c>
      <c r="D5" s="4">
        <v>236</v>
      </c>
      <c r="E5" s="4">
        <v>215</v>
      </c>
      <c r="F5" s="4">
        <v>177</v>
      </c>
      <c r="G5" s="4">
        <v>201</v>
      </c>
      <c r="H5" s="4">
        <v>220</v>
      </c>
      <c r="I5" s="5">
        <f t="shared" si="0"/>
        <v>1218</v>
      </c>
      <c r="K5" s="4" t="s">
        <v>4</v>
      </c>
      <c r="L5" s="5">
        <f>SUM(F2:F9)</f>
        <v>832</v>
      </c>
      <c r="N5" s="9"/>
      <c r="O5" s="5"/>
    </row>
    <row r="6" spans="1:15" ht="15">
      <c r="A6" s="4" t="s">
        <v>12</v>
      </c>
      <c r="B6" s="4" t="s">
        <v>604</v>
      </c>
      <c r="C6" s="4">
        <v>181</v>
      </c>
      <c r="D6" s="4">
        <v>156</v>
      </c>
      <c r="E6" s="4">
        <v>186</v>
      </c>
      <c r="F6" s="4">
        <v>147</v>
      </c>
      <c r="G6" s="4">
        <v>164</v>
      </c>
      <c r="H6" s="4">
        <v>205</v>
      </c>
      <c r="I6" s="5">
        <f t="shared" si="0"/>
        <v>1039</v>
      </c>
      <c r="K6" s="4" t="s">
        <v>5</v>
      </c>
      <c r="L6" s="5">
        <f>SUM(G2:G9)</f>
        <v>843</v>
      </c>
      <c r="N6" s="9"/>
      <c r="O6" s="5"/>
    </row>
    <row r="7" spans="1:15" ht="15">
      <c r="A7" s="4" t="s">
        <v>12</v>
      </c>
      <c r="B7" s="4" t="s">
        <v>605</v>
      </c>
      <c r="C7" s="4">
        <v>143</v>
      </c>
      <c r="D7" s="4">
        <v>140</v>
      </c>
      <c r="E7" s="4">
        <v>157</v>
      </c>
      <c r="F7" s="4">
        <v>169</v>
      </c>
      <c r="G7" s="4">
        <v>175</v>
      </c>
      <c r="H7" s="4">
        <v>169</v>
      </c>
      <c r="I7" s="5">
        <f t="shared" si="0"/>
        <v>953</v>
      </c>
      <c r="K7" s="4" t="s">
        <v>6</v>
      </c>
      <c r="L7" s="5">
        <f>SUM(H2:H9)</f>
        <v>945</v>
      </c>
      <c r="N7" s="9"/>
      <c r="O7" s="5"/>
    </row>
    <row r="8" spans="1:15" ht="15">
      <c r="A8" s="4" t="s">
        <v>12</v>
      </c>
      <c r="B8" s="4" t="s">
        <v>614</v>
      </c>
      <c r="C8" s="4"/>
      <c r="D8" s="4"/>
      <c r="E8" s="4"/>
      <c r="F8" s="4"/>
      <c r="G8" s="4">
        <v>168</v>
      </c>
      <c r="H8" s="4">
        <v>185</v>
      </c>
      <c r="I8" s="5">
        <f t="shared" si="0"/>
        <v>353</v>
      </c>
      <c r="K8" s="5"/>
      <c r="L8" s="5"/>
      <c r="N8" s="9"/>
      <c r="O8" s="5"/>
    </row>
    <row r="9" spans="1:15" ht="15">
      <c r="A9" s="9"/>
      <c r="B9" s="4"/>
      <c r="C9" s="4"/>
      <c r="D9" s="4"/>
      <c r="E9" s="4"/>
      <c r="F9" s="4"/>
      <c r="G9" s="4"/>
      <c r="H9" s="4"/>
      <c r="I9" s="5">
        <f t="shared" si="0"/>
        <v>0</v>
      </c>
      <c r="K9" s="4"/>
      <c r="L9" s="5"/>
      <c r="N9" s="9"/>
      <c r="O9" s="5"/>
    </row>
    <row r="10" spans="1:15" ht="15">
      <c r="A10" s="8" t="s">
        <v>17</v>
      </c>
      <c r="B10" s="8" t="s">
        <v>18</v>
      </c>
      <c r="C10" s="8">
        <v>169</v>
      </c>
      <c r="D10" s="8"/>
      <c r="E10" s="8"/>
      <c r="F10" s="8"/>
      <c r="G10" s="8">
        <v>136</v>
      </c>
      <c r="H10" s="8"/>
      <c r="I10" s="7">
        <f aca="true" t="shared" si="1" ref="I10:I25">SUM(C10:H10)</f>
        <v>305</v>
      </c>
      <c r="K10" s="8" t="s">
        <v>0</v>
      </c>
      <c r="L10" s="7">
        <f>SUM(C10:C17)</f>
        <v>803</v>
      </c>
      <c r="N10" s="6" t="str">
        <f>A10</f>
        <v>Bowling Green State University-Varsity</v>
      </c>
      <c r="O10" s="7">
        <f>SUM(L10:L15)</f>
        <v>4922</v>
      </c>
    </row>
    <row r="11" spans="1:15" ht="15">
      <c r="A11" s="8" t="s">
        <v>17</v>
      </c>
      <c r="B11" s="8" t="s">
        <v>19</v>
      </c>
      <c r="C11" s="8">
        <v>155</v>
      </c>
      <c r="D11" s="8">
        <v>146</v>
      </c>
      <c r="E11" s="8"/>
      <c r="F11" s="8"/>
      <c r="G11" s="8">
        <v>146</v>
      </c>
      <c r="H11" s="8">
        <v>146</v>
      </c>
      <c r="I11" s="7">
        <f t="shared" si="1"/>
        <v>593</v>
      </c>
      <c r="K11" s="8" t="s">
        <v>1</v>
      </c>
      <c r="L11" s="7">
        <f>SUM(D10:D17)</f>
        <v>891</v>
      </c>
      <c r="N11" s="6"/>
      <c r="O11" s="7"/>
    </row>
    <row r="12" spans="1:15" ht="15">
      <c r="A12" s="8" t="s">
        <v>17</v>
      </c>
      <c r="B12" s="8" t="s">
        <v>20</v>
      </c>
      <c r="C12" s="8">
        <v>138</v>
      </c>
      <c r="D12" s="8">
        <v>173</v>
      </c>
      <c r="E12" s="8">
        <v>136</v>
      </c>
      <c r="F12" s="8">
        <v>216</v>
      </c>
      <c r="G12" s="8"/>
      <c r="H12" s="8"/>
      <c r="I12" s="7">
        <f t="shared" si="1"/>
        <v>663</v>
      </c>
      <c r="K12" s="8" t="s">
        <v>2</v>
      </c>
      <c r="L12" s="7">
        <f>SUM(E10:E17)</f>
        <v>790</v>
      </c>
      <c r="N12" s="6"/>
      <c r="O12" s="7"/>
    </row>
    <row r="13" spans="1:15" ht="15">
      <c r="A13" s="8" t="s">
        <v>17</v>
      </c>
      <c r="B13" s="8" t="s">
        <v>21</v>
      </c>
      <c r="C13" s="8"/>
      <c r="D13" s="8">
        <v>238</v>
      </c>
      <c r="E13" s="8">
        <v>168</v>
      </c>
      <c r="F13" s="8">
        <v>122</v>
      </c>
      <c r="G13" s="8"/>
      <c r="H13" s="8">
        <v>182</v>
      </c>
      <c r="I13" s="7">
        <f t="shared" si="1"/>
        <v>710</v>
      </c>
      <c r="K13" s="8" t="s">
        <v>4</v>
      </c>
      <c r="L13" s="7">
        <f>SUM(F10:F17)</f>
        <v>817</v>
      </c>
      <c r="N13" s="6"/>
      <c r="O13" s="7"/>
    </row>
    <row r="14" spans="1:15" ht="15">
      <c r="A14" s="8" t="s">
        <v>17</v>
      </c>
      <c r="B14" s="8" t="s">
        <v>22</v>
      </c>
      <c r="C14" s="8"/>
      <c r="D14" s="8"/>
      <c r="E14" s="8">
        <v>157</v>
      </c>
      <c r="F14" s="8">
        <v>146</v>
      </c>
      <c r="G14" s="8"/>
      <c r="H14" s="8">
        <v>108</v>
      </c>
      <c r="I14" s="7">
        <f t="shared" si="1"/>
        <v>411</v>
      </c>
      <c r="K14" s="8" t="s">
        <v>5</v>
      </c>
      <c r="L14" s="7">
        <f>SUM(G10:G17)</f>
        <v>845</v>
      </c>
      <c r="N14" s="6"/>
      <c r="O14" s="7"/>
    </row>
    <row r="15" spans="1:15" ht="15">
      <c r="A15" s="8" t="s">
        <v>17</v>
      </c>
      <c r="B15" s="8" t="s">
        <v>23</v>
      </c>
      <c r="C15" s="8"/>
      <c r="D15" s="8"/>
      <c r="E15" s="8"/>
      <c r="F15" s="8"/>
      <c r="G15" s="8">
        <v>173</v>
      </c>
      <c r="H15" s="8"/>
      <c r="I15" s="7">
        <f t="shared" si="1"/>
        <v>173</v>
      </c>
      <c r="K15" s="8" t="s">
        <v>6</v>
      </c>
      <c r="L15" s="7">
        <f>SUM(H10:H17)</f>
        <v>776</v>
      </c>
      <c r="N15" s="6"/>
      <c r="O15" s="7"/>
    </row>
    <row r="16" spans="1:15" ht="15">
      <c r="A16" s="8" t="s">
        <v>17</v>
      </c>
      <c r="B16" s="8" t="s">
        <v>24</v>
      </c>
      <c r="C16" s="8">
        <v>167</v>
      </c>
      <c r="D16" s="8">
        <v>159</v>
      </c>
      <c r="E16" s="8">
        <v>165</v>
      </c>
      <c r="F16" s="8">
        <v>144</v>
      </c>
      <c r="G16" s="8">
        <v>167</v>
      </c>
      <c r="H16" s="8">
        <v>189</v>
      </c>
      <c r="I16" s="7">
        <f t="shared" si="1"/>
        <v>991</v>
      </c>
      <c r="K16" s="8"/>
      <c r="L16" s="7"/>
      <c r="N16" s="6"/>
      <c r="O16" s="7"/>
    </row>
    <row r="17" spans="1:15" ht="15">
      <c r="A17" s="8" t="s">
        <v>17</v>
      </c>
      <c r="B17" s="8" t="s">
        <v>25</v>
      </c>
      <c r="C17" s="8">
        <v>174</v>
      </c>
      <c r="D17" s="8">
        <v>175</v>
      </c>
      <c r="E17" s="8">
        <v>164</v>
      </c>
      <c r="F17" s="8">
        <v>189</v>
      </c>
      <c r="G17" s="8">
        <v>223</v>
      </c>
      <c r="H17" s="8">
        <v>151</v>
      </c>
      <c r="I17" s="7">
        <f t="shared" si="1"/>
        <v>1076</v>
      </c>
      <c r="K17" s="8"/>
      <c r="L17" s="7"/>
      <c r="N17" s="6"/>
      <c r="O17" s="7"/>
    </row>
    <row r="18" spans="1:15" ht="15">
      <c r="A18" s="4" t="s">
        <v>26</v>
      </c>
      <c r="B18" s="4" t="s">
        <v>27</v>
      </c>
      <c r="C18" s="4">
        <v>186</v>
      </c>
      <c r="D18" s="4">
        <v>172</v>
      </c>
      <c r="E18" s="4">
        <v>176</v>
      </c>
      <c r="F18" s="4">
        <v>139</v>
      </c>
      <c r="G18" s="4">
        <v>196</v>
      </c>
      <c r="H18" s="4">
        <v>224</v>
      </c>
      <c r="I18" s="5">
        <f t="shared" si="1"/>
        <v>1093</v>
      </c>
      <c r="K18" s="4" t="s">
        <v>0</v>
      </c>
      <c r="L18" s="5">
        <f>SUM(C18:C25)</f>
        <v>693</v>
      </c>
      <c r="N18" s="9" t="str">
        <f>A18</f>
        <v>Campbellsville  University-Junior Varsity</v>
      </c>
      <c r="O18" s="5">
        <f>SUM(L18:L23)</f>
        <v>4146</v>
      </c>
    </row>
    <row r="19" spans="1:15" ht="15">
      <c r="A19" s="4" t="s">
        <v>26</v>
      </c>
      <c r="B19" s="4" t="s">
        <v>29</v>
      </c>
      <c r="C19" s="4">
        <v>156</v>
      </c>
      <c r="D19" s="4">
        <v>211</v>
      </c>
      <c r="E19" s="4">
        <v>148</v>
      </c>
      <c r="F19" s="4">
        <v>115</v>
      </c>
      <c r="G19" s="4">
        <v>122</v>
      </c>
      <c r="H19" s="4">
        <v>127</v>
      </c>
      <c r="I19" s="5">
        <f t="shared" si="1"/>
        <v>879</v>
      </c>
      <c r="K19" s="4" t="s">
        <v>1</v>
      </c>
      <c r="L19" s="5">
        <f>SUM(D18:D25)</f>
        <v>755</v>
      </c>
      <c r="N19" s="9"/>
      <c r="O19" s="5"/>
    </row>
    <row r="20" spans="1:15" ht="15">
      <c r="A20" s="4" t="s">
        <v>26</v>
      </c>
      <c r="B20" s="4" t="s">
        <v>28</v>
      </c>
      <c r="C20" s="4">
        <v>167</v>
      </c>
      <c r="D20" s="4">
        <v>142</v>
      </c>
      <c r="E20" s="4">
        <v>118</v>
      </c>
      <c r="F20" s="4">
        <v>152</v>
      </c>
      <c r="G20" s="4">
        <v>200</v>
      </c>
      <c r="H20" s="4">
        <v>119</v>
      </c>
      <c r="I20" s="5">
        <f t="shared" si="1"/>
        <v>898</v>
      </c>
      <c r="K20" s="4" t="s">
        <v>2</v>
      </c>
      <c r="L20" s="5">
        <f>SUM(E18:E25)</f>
        <v>630</v>
      </c>
      <c r="N20" s="9"/>
      <c r="O20" s="5"/>
    </row>
    <row r="21" spans="1:15" ht="15">
      <c r="A21" s="4" t="s">
        <v>26</v>
      </c>
      <c r="B21" s="4" t="s">
        <v>582</v>
      </c>
      <c r="C21" s="4">
        <v>104</v>
      </c>
      <c r="D21" s="4">
        <v>107</v>
      </c>
      <c r="E21" s="4">
        <v>93</v>
      </c>
      <c r="F21" s="4">
        <v>79</v>
      </c>
      <c r="G21" s="4">
        <v>131</v>
      </c>
      <c r="H21" s="4">
        <v>125</v>
      </c>
      <c r="I21" s="5">
        <f t="shared" si="1"/>
        <v>639</v>
      </c>
      <c r="K21" s="4" t="s">
        <v>4</v>
      </c>
      <c r="L21" s="5">
        <f>SUM(F18:F25)</f>
        <v>613</v>
      </c>
      <c r="N21" s="9"/>
      <c r="O21" s="5"/>
    </row>
    <row r="22" spans="1:15" ht="15">
      <c r="A22" s="4" t="s">
        <v>26</v>
      </c>
      <c r="B22" s="4" t="s">
        <v>583</v>
      </c>
      <c r="C22" s="4">
        <v>80</v>
      </c>
      <c r="D22" s="4">
        <v>123</v>
      </c>
      <c r="E22" s="4">
        <v>95</v>
      </c>
      <c r="F22" s="4">
        <v>128</v>
      </c>
      <c r="G22" s="4">
        <v>101</v>
      </c>
      <c r="H22" s="4">
        <v>110</v>
      </c>
      <c r="I22" s="5">
        <f t="shared" si="1"/>
        <v>637</v>
      </c>
      <c r="K22" s="4" t="s">
        <v>5</v>
      </c>
      <c r="L22" s="5">
        <f>SUM(G18:G25)</f>
        <v>750</v>
      </c>
      <c r="N22" s="9"/>
      <c r="O22" s="5"/>
    </row>
    <row r="23" spans="1:15" ht="15">
      <c r="A23" s="4"/>
      <c r="B23" s="4"/>
      <c r="C23" s="4"/>
      <c r="D23" s="4"/>
      <c r="E23" s="4"/>
      <c r="F23" s="4"/>
      <c r="G23" s="4"/>
      <c r="H23" s="4"/>
      <c r="I23" s="5">
        <f t="shared" si="1"/>
        <v>0</v>
      </c>
      <c r="K23" s="4" t="s">
        <v>6</v>
      </c>
      <c r="L23" s="5">
        <f>SUM(H18:H25)</f>
        <v>705</v>
      </c>
      <c r="N23" s="9"/>
      <c r="O23" s="5"/>
    </row>
    <row r="24" spans="1:15" ht="15">
      <c r="A24" s="4"/>
      <c r="B24" s="4"/>
      <c r="C24" s="4"/>
      <c r="D24" s="4"/>
      <c r="E24" s="4"/>
      <c r="F24" s="4"/>
      <c r="G24" s="4"/>
      <c r="H24" s="4"/>
      <c r="I24" s="5">
        <f t="shared" si="1"/>
        <v>0</v>
      </c>
      <c r="K24" s="5"/>
      <c r="L24" s="5"/>
      <c r="N24" s="9"/>
      <c r="O24" s="5"/>
    </row>
    <row r="25" spans="1:15" ht="15">
      <c r="A25" s="9"/>
      <c r="B25" s="4"/>
      <c r="C25" s="4"/>
      <c r="D25" s="4"/>
      <c r="E25" s="4"/>
      <c r="F25" s="4"/>
      <c r="G25" s="4"/>
      <c r="H25" s="4"/>
      <c r="I25" s="5">
        <f t="shared" si="1"/>
        <v>0</v>
      </c>
      <c r="K25" s="4"/>
      <c r="L25" s="5"/>
      <c r="N25" s="9"/>
      <c r="O25" s="5"/>
    </row>
    <row r="26" spans="1:15" ht="15">
      <c r="A26" s="8" t="s">
        <v>30</v>
      </c>
      <c r="B26" s="8" t="s">
        <v>580</v>
      </c>
      <c r="C26" s="8">
        <v>154</v>
      </c>
      <c r="D26" s="8">
        <v>183</v>
      </c>
      <c r="E26" s="8">
        <v>192</v>
      </c>
      <c r="F26" s="8">
        <v>201</v>
      </c>
      <c r="G26" s="8">
        <v>228</v>
      </c>
      <c r="H26" s="8">
        <v>185</v>
      </c>
      <c r="I26" s="7">
        <f aca="true" t="shared" si="2" ref="I26:I89">SUM(C26:H26)</f>
        <v>1143</v>
      </c>
      <c r="K26" s="8" t="s">
        <v>0</v>
      </c>
      <c r="L26" s="7">
        <f>SUM(C26:C33)</f>
        <v>778</v>
      </c>
      <c r="N26" s="6" t="str">
        <f>A26</f>
        <v>Campbellsville  University-Varsity</v>
      </c>
      <c r="O26" s="7">
        <f>SUM(L26:L31)</f>
        <v>5201</v>
      </c>
    </row>
    <row r="27" spans="1:15" ht="15">
      <c r="A27" s="8" t="s">
        <v>30</v>
      </c>
      <c r="B27" s="8" t="s">
        <v>581</v>
      </c>
      <c r="C27" s="8">
        <v>160</v>
      </c>
      <c r="D27" s="8">
        <v>230</v>
      </c>
      <c r="E27" s="8">
        <v>181</v>
      </c>
      <c r="F27" s="8">
        <v>166</v>
      </c>
      <c r="G27" s="8">
        <v>139</v>
      </c>
      <c r="H27" s="8">
        <v>148</v>
      </c>
      <c r="I27" s="7">
        <f t="shared" si="2"/>
        <v>1024</v>
      </c>
      <c r="K27" s="8" t="s">
        <v>1</v>
      </c>
      <c r="L27" s="7">
        <f>SUM(D26:D33)</f>
        <v>873</v>
      </c>
      <c r="N27" s="6"/>
      <c r="O27" s="7"/>
    </row>
    <row r="28" spans="1:15" ht="15">
      <c r="A28" s="8" t="s">
        <v>30</v>
      </c>
      <c r="B28" s="8" t="s">
        <v>32</v>
      </c>
      <c r="C28" s="8">
        <v>140</v>
      </c>
      <c r="D28" s="8"/>
      <c r="E28" s="8"/>
      <c r="F28" s="8">
        <v>127</v>
      </c>
      <c r="G28" s="8"/>
      <c r="H28" s="8"/>
      <c r="I28" s="7">
        <f t="shared" si="2"/>
        <v>267</v>
      </c>
      <c r="K28" s="8" t="s">
        <v>2</v>
      </c>
      <c r="L28" s="7">
        <f>SUM(E26:E33)</f>
        <v>914</v>
      </c>
      <c r="N28" s="6"/>
      <c r="O28" s="7"/>
    </row>
    <row r="29" spans="1:15" ht="15">
      <c r="A29" s="8" t="s">
        <v>30</v>
      </c>
      <c r="B29" s="8" t="s">
        <v>33</v>
      </c>
      <c r="C29" s="8">
        <v>165</v>
      </c>
      <c r="D29" s="8">
        <v>162</v>
      </c>
      <c r="E29" s="8">
        <v>224</v>
      </c>
      <c r="F29" s="8">
        <v>177</v>
      </c>
      <c r="G29" s="8">
        <v>182</v>
      </c>
      <c r="H29" s="8">
        <v>204</v>
      </c>
      <c r="I29" s="7">
        <f t="shared" si="2"/>
        <v>1114</v>
      </c>
      <c r="K29" s="8" t="s">
        <v>4</v>
      </c>
      <c r="L29" s="7">
        <f>SUM(F26:F33)</f>
        <v>871</v>
      </c>
      <c r="N29" s="6"/>
      <c r="O29" s="7"/>
    </row>
    <row r="30" spans="1:15" ht="15">
      <c r="A30" s="8" t="s">
        <v>30</v>
      </c>
      <c r="B30" s="8" t="s">
        <v>34</v>
      </c>
      <c r="C30" s="8"/>
      <c r="D30" s="8">
        <v>145</v>
      </c>
      <c r="E30" s="8">
        <v>152</v>
      </c>
      <c r="F30" s="8"/>
      <c r="G30" s="8">
        <v>181</v>
      </c>
      <c r="H30" s="8">
        <v>169</v>
      </c>
      <c r="I30" s="7">
        <f t="shared" si="2"/>
        <v>647</v>
      </c>
      <c r="K30" s="8" t="s">
        <v>5</v>
      </c>
      <c r="L30" s="7">
        <f>SUM(G26:G33)</f>
        <v>907</v>
      </c>
      <c r="N30" s="6"/>
      <c r="O30" s="7"/>
    </row>
    <row r="31" spans="1:15" ht="15">
      <c r="A31" s="8" t="s">
        <v>30</v>
      </c>
      <c r="B31" s="8" t="s">
        <v>31</v>
      </c>
      <c r="C31" s="8">
        <v>159</v>
      </c>
      <c r="D31" s="8">
        <v>153</v>
      </c>
      <c r="E31" s="8">
        <v>165</v>
      </c>
      <c r="F31" s="8">
        <v>200</v>
      </c>
      <c r="G31" s="8">
        <v>177</v>
      </c>
      <c r="H31" s="8">
        <v>152</v>
      </c>
      <c r="I31" s="7">
        <f t="shared" si="2"/>
        <v>1006</v>
      </c>
      <c r="K31" s="8" t="s">
        <v>6</v>
      </c>
      <c r="L31" s="7">
        <f>SUM(H26:H33)</f>
        <v>858</v>
      </c>
      <c r="N31" s="6"/>
      <c r="O31" s="7"/>
    </row>
    <row r="32" spans="1:15" ht="15">
      <c r="A32" s="8"/>
      <c r="B32" s="8"/>
      <c r="C32" s="8"/>
      <c r="D32" s="8"/>
      <c r="E32" s="8"/>
      <c r="F32" s="8"/>
      <c r="G32" s="8"/>
      <c r="H32" s="8"/>
      <c r="I32" s="7">
        <f t="shared" si="2"/>
        <v>0</v>
      </c>
      <c r="K32" s="8"/>
      <c r="L32" s="7"/>
      <c r="N32" s="6"/>
      <c r="O32" s="7"/>
    </row>
    <row r="33" spans="1:15" ht="15">
      <c r="A33" s="8"/>
      <c r="B33" s="8"/>
      <c r="C33" s="8"/>
      <c r="D33" s="8"/>
      <c r="E33" s="8"/>
      <c r="F33" s="8"/>
      <c r="G33" s="8"/>
      <c r="H33" s="8"/>
      <c r="I33" s="7">
        <f t="shared" si="2"/>
        <v>0</v>
      </c>
      <c r="K33" s="8"/>
      <c r="L33" s="7"/>
      <c r="N33" s="6"/>
      <c r="O33" s="7"/>
    </row>
    <row r="34" spans="1:15" ht="15">
      <c r="A34" s="4" t="s">
        <v>35</v>
      </c>
      <c r="B34" s="4" t="s">
        <v>36</v>
      </c>
      <c r="C34" s="4">
        <v>167</v>
      </c>
      <c r="D34" s="4">
        <v>196</v>
      </c>
      <c r="E34" s="4">
        <v>220</v>
      </c>
      <c r="F34" s="4">
        <v>147</v>
      </c>
      <c r="G34" s="4">
        <v>213</v>
      </c>
      <c r="H34" s="4">
        <v>178</v>
      </c>
      <c r="I34" s="5">
        <f t="shared" si="2"/>
        <v>1121</v>
      </c>
      <c r="K34" s="4" t="s">
        <v>0</v>
      </c>
      <c r="L34" s="5">
        <f>SUM(C34:C41)</f>
        <v>866</v>
      </c>
      <c r="N34" s="9" t="str">
        <f>A34</f>
        <v>Huntington University-Varsity</v>
      </c>
      <c r="O34" s="5">
        <f>SUM(L34:L39)</f>
        <v>5383</v>
      </c>
    </row>
    <row r="35" spans="1:15" ht="15">
      <c r="A35" s="4" t="s">
        <v>35</v>
      </c>
      <c r="B35" s="4" t="s">
        <v>37</v>
      </c>
      <c r="C35" s="4"/>
      <c r="D35" s="4">
        <v>167</v>
      </c>
      <c r="E35" s="4">
        <v>162</v>
      </c>
      <c r="F35" s="4"/>
      <c r="G35" s="4">
        <v>166</v>
      </c>
      <c r="H35" s="4"/>
      <c r="I35" s="5">
        <f t="shared" si="2"/>
        <v>495</v>
      </c>
      <c r="K35" s="4" t="s">
        <v>1</v>
      </c>
      <c r="L35" s="5">
        <f>SUM(D34:D41)</f>
        <v>1004</v>
      </c>
      <c r="N35" s="9"/>
      <c r="O35" s="5"/>
    </row>
    <row r="36" spans="1:15" ht="15">
      <c r="A36" s="4" t="s">
        <v>35</v>
      </c>
      <c r="B36" s="4" t="s">
        <v>38</v>
      </c>
      <c r="C36" s="4">
        <v>207</v>
      </c>
      <c r="D36" s="4">
        <v>226</v>
      </c>
      <c r="E36" s="4">
        <v>143</v>
      </c>
      <c r="F36" s="4">
        <v>185</v>
      </c>
      <c r="G36" s="4">
        <v>163</v>
      </c>
      <c r="H36" s="4">
        <v>215</v>
      </c>
      <c r="I36" s="5">
        <f t="shared" si="2"/>
        <v>1139</v>
      </c>
      <c r="K36" s="4" t="s">
        <v>2</v>
      </c>
      <c r="L36" s="5">
        <f>SUM(E34:E41)</f>
        <v>855</v>
      </c>
      <c r="N36" s="9"/>
      <c r="O36" s="5"/>
    </row>
    <row r="37" spans="1:15" ht="15">
      <c r="A37" s="4" t="s">
        <v>35</v>
      </c>
      <c r="B37" s="4" t="s">
        <v>39</v>
      </c>
      <c r="C37" s="4">
        <v>140</v>
      </c>
      <c r="D37" s="4"/>
      <c r="E37" s="4"/>
      <c r="F37" s="4">
        <v>143</v>
      </c>
      <c r="G37" s="4"/>
      <c r="H37" s="4">
        <v>152</v>
      </c>
      <c r="I37" s="5">
        <f t="shared" si="2"/>
        <v>435</v>
      </c>
      <c r="K37" s="4" t="s">
        <v>4</v>
      </c>
      <c r="L37" s="5">
        <f>SUM(F34:F41)</f>
        <v>786</v>
      </c>
      <c r="N37" s="9"/>
      <c r="O37" s="5"/>
    </row>
    <row r="38" spans="1:15" ht="15">
      <c r="A38" s="4" t="s">
        <v>35</v>
      </c>
      <c r="B38" s="4" t="s">
        <v>40</v>
      </c>
      <c r="C38" s="4">
        <v>174</v>
      </c>
      <c r="D38" s="4">
        <v>223</v>
      </c>
      <c r="E38" s="4">
        <v>166</v>
      </c>
      <c r="F38" s="4">
        <v>151</v>
      </c>
      <c r="G38" s="4">
        <v>207</v>
      </c>
      <c r="H38" s="4">
        <v>234</v>
      </c>
      <c r="I38" s="5">
        <f t="shared" si="2"/>
        <v>1155</v>
      </c>
      <c r="K38" s="4" t="s">
        <v>5</v>
      </c>
      <c r="L38" s="5">
        <f>SUM(G34:G41)</f>
        <v>924</v>
      </c>
      <c r="N38" s="9"/>
      <c r="O38" s="5"/>
    </row>
    <row r="39" spans="1:15" ht="15">
      <c r="A39" s="4" t="s">
        <v>35</v>
      </c>
      <c r="B39" s="4" t="s">
        <v>41</v>
      </c>
      <c r="C39" s="4">
        <v>178</v>
      </c>
      <c r="D39" s="4">
        <v>192</v>
      </c>
      <c r="E39" s="4">
        <v>164</v>
      </c>
      <c r="F39" s="4">
        <v>160</v>
      </c>
      <c r="G39" s="4">
        <v>175</v>
      </c>
      <c r="H39" s="4">
        <v>169</v>
      </c>
      <c r="I39" s="5">
        <f t="shared" si="2"/>
        <v>1038</v>
      </c>
      <c r="K39" s="4" t="s">
        <v>6</v>
      </c>
      <c r="L39" s="5">
        <f>SUM(H34:H41)</f>
        <v>948</v>
      </c>
      <c r="N39" s="9"/>
      <c r="O39" s="5"/>
    </row>
    <row r="40" spans="1:15" ht="15">
      <c r="A40" s="4"/>
      <c r="B40" s="4"/>
      <c r="C40" s="4"/>
      <c r="D40" s="4"/>
      <c r="E40" s="4"/>
      <c r="F40" s="4"/>
      <c r="G40" s="4"/>
      <c r="H40" s="4"/>
      <c r="I40" s="5">
        <f t="shared" si="2"/>
        <v>0</v>
      </c>
      <c r="K40" s="5"/>
      <c r="L40" s="5"/>
      <c r="N40" s="9"/>
      <c r="O40" s="5"/>
    </row>
    <row r="41" spans="1:15" ht="15">
      <c r="A41" s="4"/>
      <c r="B41" s="4"/>
      <c r="C41" s="4"/>
      <c r="D41" s="4"/>
      <c r="E41" s="4"/>
      <c r="F41" s="4"/>
      <c r="G41" s="4"/>
      <c r="H41" s="4"/>
      <c r="I41" s="5">
        <f t="shared" si="2"/>
        <v>0</v>
      </c>
      <c r="K41" s="4"/>
      <c r="L41" s="5"/>
      <c r="N41" s="9"/>
      <c r="O41" s="5"/>
    </row>
    <row r="42" spans="1:15" ht="15">
      <c r="A42" s="8" t="s">
        <v>42</v>
      </c>
      <c r="B42" s="8" t="s">
        <v>43</v>
      </c>
      <c r="C42" s="8">
        <v>131</v>
      </c>
      <c r="D42" s="8">
        <v>200</v>
      </c>
      <c r="E42" s="8">
        <v>212</v>
      </c>
      <c r="F42" s="8">
        <v>146</v>
      </c>
      <c r="G42" s="8">
        <v>140</v>
      </c>
      <c r="H42" s="8">
        <v>165</v>
      </c>
      <c r="I42" s="7">
        <f t="shared" si="2"/>
        <v>994</v>
      </c>
      <c r="K42" s="8" t="s">
        <v>0</v>
      </c>
      <c r="L42" s="7">
        <f>SUM(C42:C49)</f>
        <v>774</v>
      </c>
      <c r="N42" s="6" t="str">
        <f>A42</f>
        <v>Huntington Universiity-Junior Varsity</v>
      </c>
      <c r="O42" s="7">
        <f>SUM(L42:L47)</f>
        <v>5118</v>
      </c>
    </row>
    <row r="43" spans="1:15" ht="15">
      <c r="A43" s="8" t="s">
        <v>42</v>
      </c>
      <c r="B43" s="8" t="s">
        <v>44</v>
      </c>
      <c r="C43" s="8">
        <v>147</v>
      </c>
      <c r="D43" s="8">
        <v>166</v>
      </c>
      <c r="E43" s="8">
        <v>202</v>
      </c>
      <c r="F43" s="8">
        <v>172</v>
      </c>
      <c r="G43" s="8">
        <v>140</v>
      </c>
      <c r="H43" s="8">
        <v>184</v>
      </c>
      <c r="I43" s="7">
        <f t="shared" si="2"/>
        <v>1011</v>
      </c>
      <c r="K43" s="8" t="s">
        <v>1</v>
      </c>
      <c r="L43" s="7">
        <f>SUM(D42:D49)</f>
        <v>784</v>
      </c>
      <c r="N43" s="6"/>
      <c r="O43" s="7"/>
    </row>
    <row r="44" spans="1:15" ht="15">
      <c r="A44" s="8" t="s">
        <v>42</v>
      </c>
      <c r="B44" s="8" t="s">
        <v>45</v>
      </c>
      <c r="C44" s="8"/>
      <c r="D44" s="8"/>
      <c r="E44" s="8"/>
      <c r="F44" s="8"/>
      <c r="G44" s="8"/>
      <c r="H44" s="8"/>
      <c r="I44" s="7">
        <f t="shared" si="2"/>
        <v>0</v>
      </c>
      <c r="K44" s="8" t="s">
        <v>2</v>
      </c>
      <c r="L44" s="7">
        <f>SUM(E42:E49)</f>
        <v>986</v>
      </c>
      <c r="N44" s="6"/>
      <c r="O44" s="7"/>
    </row>
    <row r="45" spans="1:15" ht="15">
      <c r="A45" s="8" t="s">
        <v>42</v>
      </c>
      <c r="B45" s="8" t="s">
        <v>46</v>
      </c>
      <c r="C45" s="8">
        <v>157</v>
      </c>
      <c r="D45" s="8">
        <v>144</v>
      </c>
      <c r="E45" s="8">
        <v>191</v>
      </c>
      <c r="F45" s="8">
        <v>194</v>
      </c>
      <c r="G45" s="8">
        <v>152</v>
      </c>
      <c r="H45" s="8">
        <v>190</v>
      </c>
      <c r="I45" s="7">
        <f t="shared" si="2"/>
        <v>1028</v>
      </c>
      <c r="K45" s="8" t="s">
        <v>4</v>
      </c>
      <c r="L45" s="7">
        <f>SUM(F42:F49)</f>
        <v>929</v>
      </c>
      <c r="N45" s="6"/>
      <c r="O45" s="7"/>
    </row>
    <row r="46" spans="1:15" ht="15">
      <c r="A46" s="8" t="s">
        <v>42</v>
      </c>
      <c r="B46" s="8" t="s">
        <v>47</v>
      </c>
      <c r="C46" s="8">
        <v>182</v>
      </c>
      <c r="D46" s="8">
        <v>131</v>
      </c>
      <c r="E46" s="8">
        <v>206</v>
      </c>
      <c r="F46" s="8">
        <v>206</v>
      </c>
      <c r="G46" s="8">
        <v>172</v>
      </c>
      <c r="H46" s="8">
        <v>167</v>
      </c>
      <c r="I46" s="7">
        <f t="shared" si="2"/>
        <v>1064</v>
      </c>
      <c r="K46" s="8" t="s">
        <v>5</v>
      </c>
      <c r="L46" s="7">
        <f>SUM(G42:G49)</f>
        <v>775</v>
      </c>
      <c r="N46" s="6"/>
      <c r="O46" s="7"/>
    </row>
    <row r="47" spans="1:15" ht="15">
      <c r="A47" s="8" t="s">
        <v>42</v>
      </c>
      <c r="B47" s="8" t="s">
        <v>587</v>
      </c>
      <c r="C47" s="8">
        <v>157</v>
      </c>
      <c r="D47" s="8">
        <v>143</v>
      </c>
      <c r="E47" s="8">
        <v>175</v>
      </c>
      <c r="F47" s="8">
        <v>211</v>
      </c>
      <c r="G47" s="8">
        <v>171</v>
      </c>
      <c r="H47" s="8">
        <v>164</v>
      </c>
      <c r="I47" s="7">
        <f t="shared" si="2"/>
        <v>1021</v>
      </c>
      <c r="K47" s="8" t="s">
        <v>6</v>
      </c>
      <c r="L47" s="7">
        <f>SUM(H42:H49)</f>
        <v>870</v>
      </c>
      <c r="N47" s="6"/>
      <c r="O47" s="7"/>
    </row>
    <row r="48" spans="1:15" ht="15">
      <c r="A48" s="8"/>
      <c r="B48" s="8"/>
      <c r="C48" s="8"/>
      <c r="D48" s="8"/>
      <c r="E48" s="8"/>
      <c r="F48" s="8"/>
      <c r="G48" s="8"/>
      <c r="H48" s="8"/>
      <c r="I48" s="7">
        <f t="shared" si="2"/>
        <v>0</v>
      </c>
      <c r="K48" s="8"/>
      <c r="L48" s="7"/>
      <c r="N48" s="6"/>
      <c r="O48" s="7"/>
    </row>
    <row r="49" spans="1:15" ht="15">
      <c r="A49" s="8"/>
      <c r="B49" s="8"/>
      <c r="C49" s="8"/>
      <c r="D49" s="8"/>
      <c r="E49" s="8"/>
      <c r="F49" s="8"/>
      <c r="G49" s="8"/>
      <c r="H49" s="8"/>
      <c r="I49" s="7">
        <f t="shared" si="2"/>
        <v>0</v>
      </c>
      <c r="K49" s="8"/>
      <c r="L49" s="7"/>
      <c r="N49" s="6"/>
      <c r="O49" s="7"/>
    </row>
    <row r="50" spans="1:15" ht="15">
      <c r="A50" s="4" t="s">
        <v>48</v>
      </c>
      <c r="B50" s="4" t="s">
        <v>49</v>
      </c>
      <c r="C50" s="4">
        <v>189</v>
      </c>
      <c r="D50" s="4">
        <v>114</v>
      </c>
      <c r="E50" s="4">
        <v>193</v>
      </c>
      <c r="F50" s="4">
        <v>146</v>
      </c>
      <c r="G50" s="4">
        <v>126</v>
      </c>
      <c r="H50" s="4"/>
      <c r="I50" s="5">
        <f t="shared" si="2"/>
        <v>768</v>
      </c>
      <c r="K50" s="4" t="s">
        <v>0</v>
      </c>
      <c r="L50" s="5">
        <f>SUM(C50:C57)</f>
        <v>863</v>
      </c>
      <c r="N50" s="9" t="str">
        <f>A50</f>
        <v>Indiana State University-Varsity</v>
      </c>
      <c r="O50" s="5">
        <f>SUM(L50:L55)</f>
        <v>5008</v>
      </c>
    </row>
    <row r="51" spans="1:15" ht="15">
      <c r="A51" s="4" t="s">
        <v>48</v>
      </c>
      <c r="B51" s="4" t="s">
        <v>50</v>
      </c>
      <c r="C51" s="4"/>
      <c r="D51" s="4"/>
      <c r="E51" s="4"/>
      <c r="F51" s="4">
        <v>134</v>
      </c>
      <c r="G51" s="4"/>
      <c r="H51" s="4"/>
      <c r="I51" s="5">
        <f t="shared" si="2"/>
        <v>134</v>
      </c>
      <c r="K51" s="4" t="s">
        <v>1</v>
      </c>
      <c r="L51" s="5">
        <f>SUM(D50:D57)</f>
        <v>899</v>
      </c>
      <c r="N51" s="9"/>
      <c r="O51" s="5"/>
    </row>
    <row r="52" spans="1:15" ht="15">
      <c r="A52" s="4" t="s">
        <v>48</v>
      </c>
      <c r="B52" s="4" t="s">
        <v>51</v>
      </c>
      <c r="C52" s="4">
        <v>193</v>
      </c>
      <c r="D52" s="4">
        <v>229</v>
      </c>
      <c r="E52" s="4">
        <v>206</v>
      </c>
      <c r="F52" s="4">
        <v>146</v>
      </c>
      <c r="G52" s="4">
        <v>158</v>
      </c>
      <c r="H52" s="4">
        <v>136</v>
      </c>
      <c r="I52" s="5">
        <f t="shared" si="2"/>
        <v>1068</v>
      </c>
      <c r="K52" s="4" t="s">
        <v>2</v>
      </c>
      <c r="L52" s="5">
        <f>SUM(E50:E57)</f>
        <v>852</v>
      </c>
      <c r="N52" s="9"/>
      <c r="O52" s="5"/>
    </row>
    <row r="53" spans="1:15" ht="15">
      <c r="A53" s="4" t="s">
        <v>48</v>
      </c>
      <c r="B53" s="4" t="s">
        <v>52</v>
      </c>
      <c r="C53" s="4">
        <v>143</v>
      </c>
      <c r="D53" s="4">
        <v>183</v>
      </c>
      <c r="E53" s="4">
        <v>152</v>
      </c>
      <c r="F53" s="4"/>
      <c r="G53" s="4">
        <v>205</v>
      </c>
      <c r="H53" s="4">
        <v>200</v>
      </c>
      <c r="I53" s="5">
        <f t="shared" si="2"/>
        <v>883</v>
      </c>
      <c r="K53" s="4" t="s">
        <v>4</v>
      </c>
      <c r="L53" s="5">
        <f>SUM(F50:F57)</f>
        <v>761</v>
      </c>
      <c r="N53" s="9"/>
      <c r="O53" s="5"/>
    </row>
    <row r="54" spans="1:15" ht="15">
      <c r="A54" s="4" t="s">
        <v>48</v>
      </c>
      <c r="B54" s="4" t="s">
        <v>53</v>
      </c>
      <c r="C54" s="4">
        <v>190</v>
      </c>
      <c r="D54" s="4">
        <v>198</v>
      </c>
      <c r="E54" s="4">
        <v>180</v>
      </c>
      <c r="F54" s="4">
        <v>181</v>
      </c>
      <c r="G54" s="4">
        <v>194</v>
      </c>
      <c r="H54" s="4">
        <v>199</v>
      </c>
      <c r="I54" s="5">
        <f t="shared" si="2"/>
        <v>1142</v>
      </c>
      <c r="K54" s="4" t="s">
        <v>5</v>
      </c>
      <c r="L54" s="5">
        <f>SUM(G50:G57)</f>
        <v>879</v>
      </c>
      <c r="N54" s="9"/>
      <c r="O54" s="5"/>
    </row>
    <row r="55" spans="1:15" ht="15">
      <c r="A55" s="4" t="s">
        <v>48</v>
      </c>
      <c r="B55" s="4" t="s">
        <v>54</v>
      </c>
      <c r="C55" s="4">
        <v>148</v>
      </c>
      <c r="D55" s="4">
        <v>175</v>
      </c>
      <c r="E55" s="4">
        <v>121</v>
      </c>
      <c r="F55" s="4">
        <v>154</v>
      </c>
      <c r="G55" s="4"/>
      <c r="H55" s="4">
        <v>121</v>
      </c>
      <c r="I55" s="5">
        <f t="shared" si="2"/>
        <v>719</v>
      </c>
      <c r="K55" s="4" t="s">
        <v>6</v>
      </c>
      <c r="L55" s="5">
        <f>SUM(H50:H57)</f>
        <v>754</v>
      </c>
      <c r="N55" s="9"/>
      <c r="O55" s="5"/>
    </row>
    <row r="56" spans="1:15" ht="15">
      <c r="A56" s="4" t="s">
        <v>48</v>
      </c>
      <c r="B56" s="4" t="s">
        <v>571</v>
      </c>
      <c r="C56" s="4"/>
      <c r="D56" s="4"/>
      <c r="E56" s="4"/>
      <c r="F56" s="4"/>
      <c r="G56" s="4">
        <v>196</v>
      </c>
      <c r="H56" s="4">
        <v>98</v>
      </c>
      <c r="I56" s="5">
        <f t="shared" si="2"/>
        <v>294</v>
      </c>
      <c r="K56" s="5"/>
      <c r="L56" s="5"/>
      <c r="N56" s="9"/>
      <c r="O56" s="5"/>
    </row>
    <row r="57" spans="1:15" ht="15">
      <c r="A57" s="4"/>
      <c r="B57" s="4"/>
      <c r="C57" s="4"/>
      <c r="D57" s="4"/>
      <c r="E57" s="4"/>
      <c r="F57" s="4"/>
      <c r="G57" s="4"/>
      <c r="H57" s="4"/>
      <c r="I57" s="5">
        <f t="shared" si="2"/>
        <v>0</v>
      </c>
      <c r="K57" s="4"/>
      <c r="L57" s="5"/>
      <c r="N57" s="9"/>
      <c r="O57" s="5"/>
    </row>
    <row r="58" spans="1:15" ht="15">
      <c r="A58" s="8" t="s">
        <v>55</v>
      </c>
      <c r="B58" s="8" t="s">
        <v>56</v>
      </c>
      <c r="C58" s="8">
        <v>185</v>
      </c>
      <c r="D58" s="8">
        <v>182</v>
      </c>
      <c r="E58" s="8">
        <v>178</v>
      </c>
      <c r="F58" s="8">
        <v>197</v>
      </c>
      <c r="G58" s="8">
        <v>196</v>
      </c>
      <c r="H58" s="8">
        <v>208</v>
      </c>
      <c r="I58" s="7">
        <f t="shared" si="2"/>
        <v>1146</v>
      </c>
      <c r="K58" s="8" t="s">
        <v>0</v>
      </c>
      <c r="L58" s="7">
        <f>SUM(C58:C65)</f>
        <v>897</v>
      </c>
      <c r="N58" s="6" t="str">
        <f>A58</f>
        <v>Indiana University Bloomington-Varsity</v>
      </c>
      <c r="O58" s="7">
        <f>SUM(L58:L63)</f>
        <v>5172</v>
      </c>
    </row>
    <row r="59" spans="1:15" ht="15">
      <c r="A59" s="8" t="s">
        <v>55</v>
      </c>
      <c r="B59" s="8" t="s">
        <v>57</v>
      </c>
      <c r="C59" s="8">
        <v>243</v>
      </c>
      <c r="D59" s="8">
        <v>187</v>
      </c>
      <c r="E59" s="8">
        <v>173</v>
      </c>
      <c r="F59" s="8">
        <v>205</v>
      </c>
      <c r="G59" s="8">
        <v>210</v>
      </c>
      <c r="H59" s="8">
        <v>205</v>
      </c>
      <c r="I59" s="7">
        <f t="shared" si="2"/>
        <v>1223</v>
      </c>
      <c r="K59" s="8" t="s">
        <v>1</v>
      </c>
      <c r="L59" s="7">
        <f>SUM(D58:D65)</f>
        <v>799</v>
      </c>
      <c r="N59" s="6"/>
      <c r="O59" s="7"/>
    </row>
    <row r="60" spans="1:15" ht="15">
      <c r="A60" s="8" t="s">
        <v>55</v>
      </c>
      <c r="B60" s="8" t="s">
        <v>58</v>
      </c>
      <c r="C60" s="8">
        <v>137</v>
      </c>
      <c r="D60" s="8"/>
      <c r="E60" s="8">
        <v>146</v>
      </c>
      <c r="F60" s="8"/>
      <c r="G60" s="8">
        <v>188</v>
      </c>
      <c r="H60" s="8">
        <v>183</v>
      </c>
      <c r="I60" s="7">
        <f t="shared" si="2"/>
        <v>654</v>
      </c>
      <c r="K60" s="8" t="s">
        <v>2</v>
      </c>
      <c r="L60" s="7">
        <f>SUM(E58:E65)</f>
        <v>836</v>
      </c>
      <c r="N60" s="6"/>
      <c r="O60" s="7"/>
    </row>
    <row r="61" spans="1:15" ht="15">
      <c r="A61" s="8" t="s">
        <v>55</v>
      </c>
      <c r="B61" s="8" t="s">
        <v>59</v>
      </c>
      <c r="C61" s="8"/>
      <c r="D61" s="8"/>
      <c r="E61" s="8"/>
      <c r="F61" s="8"/>
      <c r="G61" s="8">
        <v>185</v>
      </c>
      <c r="H61" s="8">
        <v>139</v>
      </c>
      <c r="I61" s="7">
        <f t="shared" si="2"/>
        <v>324</v>
      </c>
      <c r="K61" s="8" t="s">
        <v>4</v>
      </c>
      <c r="L61" s="7">
        <f>SUM(F58:F65)</f>
        <v>816</v>
      </c>
      <c r="N61" s="6"/>
      <c r="O61" s="7"/>
    </row>
    <row r="62" spans="1:15" ht="15">
      <c r="A62" s="8" t="s">
        <v>55</v>
      </c>
      <c r="B62" s="8" t="s">
        <v>60</v>
      </c>
      <c r="C62" s="8"/>
      <c r="D62" s="8">
        <v>159</v>
      </c>
      <c r="E62" s="8">
        <v>163</v>
      </c>
      <c r="F62" s="8">
        <v>144</v>
      </c>
      <c r="G62" s="8"/>
      <c r="H62" s="8"/>
      <c r="I62" s="7">
        <f t="shared" si="2"/>
        <v>466</v>
      </c>
      <c r="K62" s="8" t="s">
        <v>5</v>
      </c>
      <c r="L62" s="7">
        <f>SUM(G58:G65)</f>
        <v>927</v>
      </c>
      <c r="N62" s="6"/>
      <c r="O62" s="7"/>
    </row>
    <row r="63" spans="1:15" ht="15">
      <c r="A63" s="8" t="s">
        <v>55</v>
      </c>
      <c r="B63" s="8" t="s">
        <v>61</v>
      </c>
      <c r="C63" s="8">
        <v>124</v>
      </c>
      <c r="D63" s="8">
        <v>149</v>
      </c>
      <c r="E63" s="8">
        <v>176</v>
      </c>
      <c r="F63" s="8">
        <v>135</v>
      </c>
      <c r="G63" s="8"/>
      <c r="H63" s="8">
        <v>162</v>
      </c>
      <c r="I63" s="7">
        <f t="shared" si="2"/>
        <v>746</v>
      </c>
      <c r="K63" s="8" t="s">
        <v>6</v>
      </c>
      <c r="L63" s="7">
        <f>SUM(H58:H65)</f>
        <v>897</v>
      </c>
      <c r="N63" s="6"/>
      <c r="O63" s="7"/>
    </row>
    <row r="64" spans="1:15" ht="15">
      <c r="A64" s="8" t="s">
        <v>55</v>
      </c>
      <c r="B64" s="8" t="s">
        <v>62</v>
      </c>
      <c r="C64" s="8">
        <v>208</v>
      </c>
      <c r="D64" s="8">
        <v>122</v>
      </c>
      <c r="E64" s="8"/>
      <c r="F64" s="8">
        <v>135</v>
      </c>
      <c r="G64" s="8">
        <v>148</v>
      </c>
      <c r="H64" s="8"/>
      <c r="I64" s="7">
        <f t="shared" si="2"/>
        <v>613</v>
      </c>
      <c r="K64" s="8"/>
      <c r="L64" s="7"/>
      <c r="N64" s="6"/>
      <c r="O64" s="7"/>
    </row>
    <row r="65" spans="1:15" ht="15">
      <c r="A65" s="8" t="s">
        <v>55</v>
      </c>
      <c r="B65" s="8" t="s">
        <v>571</v>
      </c>
      <c r="C65" s="8"/>
      <c r="D65" s="8"/>
      <c r="E65" s="8"/>
      <c r="F65" s="8"/>
      <c r="G65" s="8"/>
      <c r="H65" s="8"/>
      <c r="I65" s="7">
        <f t="shared" si="2"/>
        <v>0</v>
      </c>
      <c r="K65" s="8"/>
      <c r="L65" s="7"/>
      <c r="N65" s="6"/>
      <c r="O65" s="7"/>
    </row>
    <row r="66" spans="1:15" ht="15">
      <c r="A66" s="4" t="s">
        <v>63</v>
      </c>
      <c r="B66" s="4" t="s">
        <v>64</v>
      </c>
      <c r="C66" s="4"/>
      <c r="D66" s="4"/>
      <c r="E66" s="4"/>
      <c r="F66" s="4">
        <v>170</v>
      </c>
      <c r="G66" s="4">
        <v>171</v>
      </c>
      <c r="H66" s="4"/>
      <c r="I66" s="5">
        <f t="shared" si="2"/>
        <v>341</v>
      </c>
      <c r="K66" s="4" t="s">
        <v>0</v>
      </c>
      <c r="L66" s="5">
        <f>SUM(C66:C73)</f>
        <v>815</v>
      </c>
      <c r="N66" s="9" t="str">
        <f>A66</f>
        <v>Lindsey Wilson-Varsity</v>
      </c>
      <c r="O66" s="5">
        <f>SUM(L66:L71)</f>
        <v>4928</v>
      </c>
    </row>
    <row r="67" spans="1:15" ht="15">
      <c r="A67" s="4" t="s">
        <v>63</v>
      </c>
      <c r="B67" s="4" t="s">
        <v>65</v>
      </c>
      <c r="C67" s="4">
        <v>155</v>
      </c>
      <c r="D67" s="4">
        <v>173</v>
      </c>
      <c r="E67" s="4">
        <v>172</v>
      </c>
      <c r="F67" s="4">
        <v>164</v>
      </c>
      <c r="G67" s="4">
        <v>192</v>
      </c>
      <c r="H67" s="4">
        <v>169</v>
      </c>
      <c r="I67" s="5">
        <f t="shared" si="2"/>
        <v>1025</v>
      </c>
      <c r="K67" s="4" t="s">
        <v>1</v>
      </c>
      <c r="L67" s="5">
        <f>SUM(D66:D73)</f>
        <v>764</v>
      </c>
      <c r="N67" s="9"/>
      <c r="O67" s="5"/>
    </row>
    <row r="68" spans="1:15" ht="15">
      <c r="A68" s="4" t="s">
        <v>63</v>
      </c>
      <c r="B68" s="4" t="s">
        <v>66</v>
      </c>
      <c r="C68" s="4"/>
      <c r="D68" s="4"/>
      <c r="E68" s="4">
        <v>145</v>
      </c>
      <c r="F68" s="4"/>
      <c r="G68" s="4"/>
      <c r="H68" s="4">
        <v>160</v>
      </c>
      <c r="I68" s="5">
        <f t="shared" si="2"/>
        <v>305</v>
      </c>
      <c r="K68" s="4" t="s">
        <v>2</v>
      </c>
      <c r="L68" s="5">
        <f>SUM(E66:E73)</f>
        <v>785</v>
      </c>
      <c r="N68" s="9"/>
      <c r="O68" s="5"/>
    </row>
    <row r="69" spans="1:15" ht="15">
      <c r="A69" s="4" t="s">
        <v>63</v>
      </c>
      <c r="B69" s="4" t="s">
        <v>606</v>
      </c>
      <c r="C69" s="4"/>
      <c r="D69" s="4">
        <v>130</v>
      </c>
      <c r="E69" s="4"/>
      <c r="F69" s="4"/>
      <c r="G69" s="4"/>
      <c r="H69" s="4">
        <v>146</v>
      </c>
      <c r="I69" s="5">
        <f t="shared" si="2"/>
        <v>276</v>
      </c>
      <c r="K69" s="4" t="s">
        <v>4</v>
      </c>
      <c r="L69" s="5">
        <f>SUM(F66:F73)</f>
        <v>918</v>
      </c>
      <c r="N69" s="9"/>
      <c r="O69" s="5"/>
    </row>
    <row r="70" spans="1:15" ht="15">
      <c r="A70" s="4" t="s">
        <v>63</v>
      </c>
      <c r="B70" s="4" t="s">
        <v>67</v>
      </c>
      <c r="C70" s="4">
        <v>204</v>
      </c>
      <c r="D70" s="4">
        <v>141</v>
      </c>
      <c r="E70" s="4"/>
      <c r="F70" s="4">
        <v>214</v>
      </c>
      <c r="G70" s="4">
        <v>131</v>
      </c>
      <c r="H70" s="4"/>
      <c r="I70" s="5">
        <f t="shared" si="2"/>
        <v>690</v>
      </c>
      <c r="K70" s="4" t="s">
        <v>5</v>
      </c>
      <c r="L70" s="5">
        <f>SUM(G66:G73)</f>
        <v>833</v>
      </c>
      <c r="N70" s="9"/>
      <c r="O70" s="5"/>
    </row>
    <row r="71" spans="1:15" ht="15">
      <c r="A71" s="4" t="s">
        <v>63</v>
      </c>
      <c r="B71" s="4" t="s">
        <v>68</v>
      </c>
      <c r="C71" s="4">
        <v>128</v>
      </c>
      <c r="D71" s="4"/>
      <c r="E71" s="4">
        <v>175</v>
      </c>
      <c r="F71" s="4">
        <v>181</v>
      </c>
      <c r="G71" s="4">
        <v>113</v>
      </c>
      <c r="H71" s="4"/>
      <c r="I71" s="5">
        <f t="shared" si="2"/>
        <v>597</v>
      </c>
      <c r="K71" s="4" t="s">
        <v>6</v>
      </c>
      <c r="L71" s="5">
        <f>SUM(H66:H73)</f>
        <v>813</v>
      </c>
      <c r="N71" s="9"/>
      <c r="O71" s="5"/>
    </row>
    <row r="72" spans="1:15" ht="15">
      <c r="A72" s="4" t="s">
        <v>63</v>
      </c>
      <c r="B72" s="4" t="s">
        <v>69</v>
      </c>
      <c r="C72" s="4">
        <v>156</v>
      </c>
      <c r="D72" s="4">
        <v>153</v>
      </c>
      <c r="E72" s="4">
        <v>124</v>
      </c>
      <c r="F72" s="4"/>
      <c r="G72" s="4"/>
      <c r="H72" s="4">
        <v>175</v>
      </c>
      <c r="I72" s="5">
        <f t="shared" si="2"/>
        <v>608</v>
      </c>
      <c r="K72" s="5"/>
      <c r="L72" s="5"/>
      <c r="N72" s="9"/>
      <c r="O72" s="5"/>
    </row>
    <row r="73" spans="1:15" ht="15">
      <c r="A73" s="4" t="s">
        <v>63</v>
      </c>
      <c r="B73" s="4" t="s">
        <v>70</v>
      </c>
      <c r="C73" s="4">
        <v>172</v>
      </c>
      <c r="D73" s="4">
        <v>167</v>
      </c>
      <c r="E73" s="4">
        <v>169</v>
      </c>
      <c r="F73" s="4">
        <v>189</v>
      </c>
      <c r="G73" s="4">
        <v>226</v>
      </c>
      <c r="H73" s="4">
        <v>163</v>
      </c>
      <c r="I73" s="5">
        <f t="shared" si="2"/>
        <v>1086</v>
      </c>
      <c r="K73" s="4"/>
      <c r="L73" s="5"/>
      <c r="N73" s="9"/>
      <c r="O73" s="5"/>
    </row>
    <row r="74" spans="1:15" ht="15">
      <c r="A74" s="8" t="s">
        <v>71</v>
      </c>
      <c r="B74" s="8" t="s">
        <v>72</v>
      </c>
      <c r="C74" s="8"/>
      <c r="D74" s="8"/>
      <c r="E74" s="8">
        <v>198</v>
      </c>
      <c r="F74" s="8">
        <v>159</v>
      </c>
      <c r="G74" s="8">
        <v>175</v>
      </c>
      <c r="H74" s="8">
        <v>197</v>
      </c>
      <c r="I74" s="7">
        <f t="shared" si="2"/>
        <v>729</v>
      </c>
      <c r="K74" s="8" t="s">
        <v>0</v>
      </c>
      <c r="L74" s="7">
        <f>SUM(C74:C81)</f>
        <v>940</v>
      </c>
      <c r="N74" s="6" t="str">
        <f>A74</f>
        <v>Marian University-Varsity</v>
      </c>
      <c r="O74" s="7">
        <f>SUM(L74:L79)</f>
        <v>5537</v>
      </c>
    </row>
    <row r="75" spans="1:15" ht="15">
      <c r="A75" s="8" t="s">
        <v>71</v>
      </c>
      <c r="B75" s="8" t="s">
        <v>73</v>
      </c>
      <c r="C75" s="8">
        <v>195</v>
      </c>
      <c r="D75" s="8">
        <v>221</v>
      </c>
      <c r="E75" s="8">
        <v>212</v>
      </c>
      <c r="F75" s="8">
        <v>182</v>
      </c>
      <c r="G75" s="8">
        <v>222</v>
      </c>
      <c r="H75" s="8">
        <v>177</v>
      </c>
      <c r="I75" s="7">
        <f t="shared" si="2"/>
        <v>1209</v>
      </c>
      <c r="K75" s="8" t="s">
        <v>1</v>
      </c>
      <c r="L75" s="7">
        <f>SUM(D74:D81)</f>
        <v>974</v>
      </c>
      <c r="N75" s="6"/>
      <c r="O75" s="7"/>
    </row>
    <row r="76" spans="1:15" ht="15">
      <c r="A76" s="8" t="s">
        <v>71</v>
      </c>
      <c r="B76" s="8" t="s">
        <v>74</v>
      </c>
      <c r="C76" s="8">
        <v>193</v>
      </c>
      <c r="D76" s="8">
        <v>186</v>
      </c>
      <c r="E76" s="8">
        <v>190</v>
      </c>
      <c r="F76" s="8">
        <v>168</v>
      </c>
      <c r="G76" s="8">
        <v>194</v>
      </c>
      <c r="H76" s="8">
        <v>189</v>
      </c>
      <c r="I76" s="7">
        <f t="shared" si="2"/>
        <v>1120</v>
      </c>
      <c r="K76" s="8" t="s">
        <v>2</v>
      </c>
      <c r="L76" s="7">
        <f>SUM(E74:E81)</f>
        <v>941</v>
      </c>
      <c r="N76" s="6"/>
      <c r="O76" s="7"/>
    </row>
    <row r="77" spans="1:15" ht="15">
      <c r="A77" s="8" t="s">
        <v>71</v>
      </c>
      <c r="B77" s="8" t="s">
        <v>75</v>
      </c>
      <c r="C77" s="8">
        <v>179</v>
      </c>
      <c r="D77" s="8">
        <v>206</v>
      </c>
      <c r="E77" s="8">
        <v>160</v>
      </c>
      <c r="F77" s="8">
        <v>223</v>
      </c>
      <c r="G77" s="8">
        <v>162</v>
      </c>
      <c r="H77" s="8">
        <v>149</v>
      </c>
      <c r="I77" s="7">
        <f t="shared" si="2"/>
        <v>1079</v>
      </c>
      <c r="K77" s="8" t="s">
        <v>4</v>
      </c>
      <c r="L77" s="7">
        <f>SUM(F74:F81)</f>
        <v>855</v>
      </c>
      <c r="N77" s="6"/>
      <c r="O77" s="7"/>
    </row>
    <row r="78" spans="1:15" ht="15">
      <c r="A78" s="8" t="s">
        <v>71</v>
      </c>
      <c r="B78" s="8" t="s">
        <v>76</v>
      </c>
      <c r="C78" s="8">
        <v>219</v>
      </c>
      <c r="D78" s="8">
        <v>136</v>
      </c>
      <c r="E78" s="8"/>
      <c r="F78" s="8"/>
      <c r="G78" s="8"/>
      <c r="H78" s="8"/>
      <c r="I78" s="7">
        <f t="shared" si="2"/>
        <v>355</v>
      </c>
      <c r="K78" s="8" t="s">
        <v>5</v>
      </c>
      <c r="L78" s="7">
        <f>SUM(G74:G81)</f>
        <v>947</v>
      </c>
      <c r="N78" s="6"/>
      <c r="O78" s="7"/>
    </row>
    <row r="79" spans="1:15" ht="15">
      <c r="A79" s="8" t="s">
        <v>71</v>
      </c>
      <c r="B79" s="8" t="s">
        <v>77</v>
      </c>
      <c r="C79" s="8"/>
      <c r="D79" s="8"/>
      <c r="E79" s="8"/>
      <c r="F79" s="8"/>
      <c r="G79" s="8">
        <v>194</v>
      </c>
      <c r="H79" s="8">
        <v>168</v>
      </c>
      <c r="I79" s="7">
        <f t="shared" si="2"/>
        <v>362</v>
      </c>
      <c r="K79" s="8" t="s">
        <v>6</v>
      </c>
      <c r="L79" s="7">
        <f>SUM(H74:H81)</f>
        <v>880</v>
      </c>
      <c r="N79" s="6"/>
      <c r="O79" s="7"/>
    </row>
    <row r="80" spans="1:15" ht="15">
      <c r="A80" s="8" t="s">
        <v>71</v>
      </c>
      <c r="B80" s="8" t="s">
        <v>78</v>
      </c>
      <c r="C80" s="8">
        <v>154</v>
      </c>
      <c r="D80" s="8">
        <v>225</v>
      </c>
      <c r="E80" s="8">
        <v>181</v>
      </c>
      <c r="F80" s="8">
        <v>123</v>
      </c>
      <c r="G80" s="8"/>
      <c r="H80" s="8"/>
      <c r="I80" s="7">
        <f t="shared" si="2"/>
        <v>683</v>
      </c>
      <c r="K80" s="8"/>
      <c r="L80" s="7"/>
      <c r="N80" s="6"/>
      <c r="O80" s="7"/>
    </row>
    <row r="81" spans="1:15" ht="15">
      <c r="A81" s="8"/>
      <c r="B81" s="8"/>
      <c r="C81" s="8"/>
      <c r="D81" s="8"/>
      <c r="E81" s="8"/>
      <c r="F81" s="8"/>
      <c r="G81" s="8"/>
      <c r="H81" s="8"/>
      <c r="I81" s="7">
        <f t="shared" si="2"/>
        <v>0</v>
      </c>
      <c r="K81" s="8"/>
      <c r="L81" s="7"/>
      <c r="N81" s="6"/>
      <c r="O81" s="7"/>
    </row>
    <row r="82" spans="1:15" ht="15">
      <c r="A82" s="4" t="s">
        <v>79</v>
      </c>
      <c r="B82" s="4" t="s">
        <v>80</v>
      </c>
      <c r="C82" s="4">
        <v>209</v>
      </c>
      <c r="D82" s="4">
        <v>155</v>
      </c>
      <c r="E82" s="4">
        <v>169</v>
      </c>
      <c r="F82" s="4">
        <v>136</v>
      </c>
      <c r="G82" s="4"/>
      <c r="H82" s="4"/>
      <c r="I82" s="5">
        <f t="shared" si="2"/>
        <v>669</v>
      </c>
      <c r="K82" s="4" t="s">
        <v>0</v>
      </c>
      <c r="L82" s="5">
        <f>SUM(C82:C89)</f>
        <v>926</v>
      </c>
      <c r="N82" s="9" t="str">
        <f>A82</f>
        <v>Marian University-Junior Varsity</v>
      </c>
      <c r="O82" s="5">
        <f>SUM(L82:L87)</f>
        <v>5159</v>
      </c>
    </row>
    <row r="83" spans="1:15" ht="15">
      <c r="A83" s="4" t="s">
        <v>79</v>
      </c>
      <c r="B83" s="4" t="s">
        <v>81</v>
      </c>
      <c r="C83" s="4">
        <v>166</v>
      </c>
      <c r="D83" s="4"/>
      <c r="E83" s="4">
        <v>175</v>
      </c>
      <c r="F83" s="4">
        <v>198</v>
      </c>
      <c r="G83" s="4">
        <v>158</v>
      </c>
      <c r="H83" s="4">
        <v>182</v>
      </c>
      <c r="I83" s="5">
        <f t="shared" si="2"/>
        <v>879</v>
      </c>
      <c r="K83" s="4" t="s">
        <v>1</v>
      </c>
      <c r="L83" s="5">
        <f>SUM(D82:D89)</f>
        <v>805</v>
      </c>
      <c r="N83" s="9"/>
      <c r="O83" s="5"/>
    </row>
    <row r="84" spans="1:15" ht="15">
      <c r="A84" s="4" t="s">
        <v>79</v>
      </c>
      <c r="B84" s="4" t="s">
        <v>82</v>
      </c>
      <c r="C84" s="4">
        <v>210</v>
      </c>
      <c r="D84" s="4">
        <v>172</v>
      </c>
      <c r="E84" s="4">
        <v>135</v>
      </c>
      <c r="F84" s="4">
        <v>158</v>
      </c>
      <c r="G84" s="4">
        <v>279</v>
      </c>
      <c r="H84" s="4">
        <v>163</v>
      </c>
      <c r="I84" s="5">
        <f t="shared" si="2"/>
        <v>1117</v>
      </c>
      <c r="K84" s="4" t="s">
        <v>2</v>
      </c>
      <c r="L84" s="5">
        <f>SUM(E82:E89)</f>
        <v>874</v>
      </c>
      <c r="N84" s="9"/>
      <c r="O84" s="5"/>
    </row>
    <row r="85" spans="1:15" ht="15">
      <c r="A85" s="4" t="s">
        <v>79</v>
      </c>
      <c r="B85" s="4" t="s">
        <v>83</v>
      </c>
      <c r="C85" s="4">
        <v>180</v>
      </c>
      <c r="D85" s="4">
        <v>159</v>
      </c>
      <c r="E85" s="4">
        <v>222</v>
      </c>
      <c r="F85" s="4">
        <v>149</v>
      </c>
      <c r="G85" s="4">
        <v>181</v>
      </c>
      <c r="H85" s="4">
        <v>125</v>
      </c>
      <c r="I85" s="5">
        <f t="shared" si="2"/>
        <v>1016</v>
      </c>
      <c r="K85" s="4" t="s">
        <v>4</v>
      </c>
      <c r="L85" s="5">
        <f>SUM(F82:F89)</f>
        <v>787</v>
      </c>
      <c r="N85" s="9"/>
      <c r="O85" s="5"/>
    </row>
    <row r="86" spans="1:15" ht="15">
      <c r="A86" s="4" t="s">
        <v>79</v>
      </c>
      <c r="B86" s="4" t="s">
        <v>84</v>
      </c>
      <c r="C86" s="4"/>
      <c r="D86" s="4">
        <v>176</v>
      </c>
      <c r="E86" s="4">
        <v>173</v>
      </c>
      <c r="F86" s="4">
        <v>146</v>
      </c>
      <c r="G86" s="4">
        <v>207</v>
      </c>
      <c r="H86" s="4">
        <v>171</v>
      </c>
      <c r="I86" s="5">
        <f t="shared" si="2"/>
        <v>873</v>
      </c>
      <c r="K86" s="4" t="s">
        <v>5</v>
      </c>
      <c r="L86" s="5">
        <f>SUM(G82:G89)</f>
        <v>969</v>
      </c>
      <c r="N86" s="9"/>
      <c r="O86" s="5"/>
    </row>
    <row r="87" spans="1:15" ht="15">
      <c r="A87" s="4" t="s">
        <v>79</v>
      </c>
      <c r="B87" s="4" t="s">
        <v>85</v>
      </c>
      <c r="C87" s="4">
        <v>161</v>
      </c>
      <c r="D87" s="4">
        <v>143</v>
      </c>
      <c r="E87" s="4"/>
      <c r="F87" s="4"/>
      <c r="G87" s="4">
        <v>144</v>
      </c>
      <c r="H87" s="4">
        <v>157</v>
      </c>
      <c r="I87" s="5">
        <f t="shared" si="2"/>
        <v>605</v>
      </c>
      <c r="K87" s="4" t="s">
        <v>6</v>
      </c>
      <c r="L87" s="5">
        <f>SUM(H82:H89)</f>
        <v>798</v>
      </c>
      <c r="N87" s="9"/>
      <c r="O87" s="5"/>
    </row>
    <row r="88" spans="1:15" ht="15">
      <c r="A88" s="4" t="s">
        <v>79</v>
      </c>
      <c r="B88" s="4" t="s">
        <v>86</v>
      </c>
      <c r="C88" s="4"/>
      <c r="D88" s="4"/>
      <c r="E88" s="4"/>
      <c r="F88" s="4"/>
      <c r="G88" s="4"/>
      <c r="H88" s="4"/>
      <c r="I88" s="5">
        <f t="shared" si="2"/>
        <v>0</v>
      </c>
      <c r="K88" s="5"/>
      <c r="L88" s="5"/>
      <c r="N88" s="9"/>
      <c r="O88" s="5"/>
    </row>
    <row r="89" spans="1:15" ht="15">
      <c r="A89" s="9"/>
      <c r="B89" s="4"/>
      <c r="C89" s="4"/>
      <c r="D89" s="4"/>
      <c r="E89" s="4"/>
      <c r="F89" s="4"/>
      <c r="G89" s="4"/>
      <c r="H89" s="4"/>
      <c r="I89" s="5">
        <f t="shared" si="2"/>
        <v>0</v>
      </c>
      <c r="K89" s="4"/>
      <c r="L89" s="5"/>
      <c r="N89" s="9"/>
      <c r="O89" s="5"/>
    </row>
    <row r="90" spans="1:15" ht="15">
      <c r="A90" s="8" t="s">
        <v>87</v>
      </c>
      <c r="B90" s="8" t="s">
        <v>559</v>
      </c>
      <c r="C90" s="8"/>
      <c r="D90" s="8">
        <v>166</v>
      </c>
      <c r="E90" s="8">
        <v>179</v>
      </c>
      <c r="F90" s="8"/>
      <c r="G90" s="8"/>
      <c r="H90" s="8">
        <v>147</v>
      </c>
      <c r="I90" s="7">
        <f aca="true" t="shared" si="3" ref="I90:I153">SUM(C90:H90)</f>
        <v>492</v>
      </c>
      <c r="K90" s="8" t="s">
        <v>0</v>
      </c>
      <c r="L90" s="7">
        <f>SUM(C90:C97)</f>
        <v>927</v>
      </c>
      <c r="N90" s="6" t="str">
        <f>A90</f>
        <v>Martin Methodist-Varsity</v>
      </c>
      <c r="O90" s="7">
        <f>SUM(L90:L95)</f>
        <v>5486</v>
      </c>
    </row>
    <row r="91" spans="1:15" ht="15">
      <c r="A91" s="8" t="s">
        <v>87</v>
      </c>
      <c r="B91" s="8" t="s">
        <v>560</v>
      </c>
      <c r="C91" s="8">
        <v>169</v>
      </c>
      <c r="D91" s="8">
        <v>156</v>
      </c>
      <c r="E91" s="8"/>
      <c r="F91" s="8"/>
      <c r="G91" s="8">
        <v>211</v>
      </c>
      <c r="H91" s="8">
        <v>217</v>
      </c>
      <c r="I91" s="7">
        <f t="shared" si="3"/>
        <v>753</v>
      </c>
      <c r="K91" s="8" t="s">
        <v>1</v>
      </c>
      <c r="L91" s="7">
        <f>SUM(D90:D97)</f>
        <v>900</v>
      </c>
      <c r="N91" s="6"/>
      <c r="O91" s="7"/>
    </row>
    <row r="92" spans="1:15" ht="15">
      <c r="A92" s="8" t="s">
        <v>87</v>
      </c>
      <c r="B92" s="8" t="s">
        <v>561</v>
      </c>
      <c r="C92" s="8">
        <v>155</v>
      </c>
      <c r="D92" s="8"/>
      <c r="E92" s="8"/>
      <c r="F92" s="8">
        <v>200</v>
      </c>
      <c r="G92" s="8">
        <v>178</v>
      </c>
      <c r="H92" s="8">
        <v>164</v>
      </c>
      <c r="I92" s="7">
        <f t="shared" si="3"/>
        <v>697</v>
      </c>
      <c r="K92" s="8" t="s">
        <v>2</v>
      </c>
      <c r="L92" s="7">
        <f>SUM(E90:E97)</f>
        <v>945</v>
      </c>
      <c r="N92" s="6"/>
      <c r="O92" s="7"/>
    </row>
    <row r="93" spans="1:15" ht="15">
      <c r="A93" s="8" t="s">
        <v>87</v>
      </c>
      <c r="B93" s="8" t="s">
        <v>562</v>
      </c>
      <c r="C93" s="8">
        <v>187</v>
      </c>
      <c r="D93" s="8">
        <v>213</v>
      </c>
      <c r="E93" s="8">
        <v>185</v>
      </c>
      <c r="F93" s="8">
        <v>193</v>
      </c>
      <c r="G93" s="8">
        <v>173</v>
      </c>
      <c r="H93" s="8">
        <v>199</v>
      </c>
      <c r="I93" s="7">
        <f t="shared" si="3"/>
        <v>1150</v>
      </c>
      <c r="K93" s="8" t="s">
        <v>4</v>
      </c>
      <c r="L93" s="7">
        <f>SUM(F90:F97)</f>
        <v>951</v>
      </c>
      <c r="N93" s="6"/>
      <c r="O93" s="7"/>
    </row>
    <row r="94" spans="1:15" ht="15">
      <c r="A94" s="8" t="s">
        <v>87</v>
      </c>
      <c r="B94" s="8" t="s">
        <v>563</v>
      </c>
      <c r="C94" s="8">
        <v>236</v>
      </c>
      <c r="D94" s="8">
        <v>170</v>
      </c>
      <c r="E94" s="8">
        <v>203</v>
      </c>
      <c r="F94" s="8">
        <v>199</v>
      </c>
      <c r="G94" s="8">
        <v>151</v>
      </c>
      <c r="H94" s="8">
        <v>149</v>
      </c>
      <c r="I94" s="7">
        <f t="shared" si="3"/>
        <v>1108</v>
      </c>
      <c r="K94" s="8" t="s">
        <v>5</v>
      </c>
      <c r="L94" s="7">
        <f>SUM(G90:G97)</f>
        <v>887</v>
      </c>
      <c r="N94" s="6"/>
      <c r="O94" s="7"/>
    </row>
    <row r="95" spans="1:15" ht="15">
      <c r="A95" s="8" t="s">
        <v>87</v>
      </c>
      <c r="B95" s="8" t="s">
        <v>564</v>
      </c>
      <c r="C95" s="8"/>
      <c r="D95" s="8"/>
      <c r="E95" s="8">
        <v>196</v>
      </c>
      <c r="F95" s="8">
        <v>160</v>
      </c>
      <c r="G95" s="8"/>
      <c r="H95" s="8"/>
      <c r="I95" s="7">
        <f t="shared" si="3"/>
        <v>356</v>
      </c>
      <c r="K95" s="8" t="s">
        <v>6</v>
      </c>
      <c r="L95" s="7">
        <f>SUM(H90:H97)</f>
        <v>876</v>
      </c>
      <c r="N95" s="6"/>
      <c r="O95" s="7"/>
    </row>
    <row r="96" spans="1:15" ht="15">
      <c r="A96" s="8" t="s">
        <v>87</v>
      </c>
      <c r="B96" s="8" t="s">
        <v>565</v>
      </c>
      <c r="C96" s="8">
        <v>180</v>
      </c>
      <c r="D96" s="8">
        <v>195</v>
      </c>
      <c r="E96" s="8">
        <v>182</v>
      </c>
      <c r="F96" s="8">
        <v>199</v>
      </c>
      <c r="G96" s="8">
        <v>174</v>
      </c>
      <c r="H96" s="8"/>
      <c r="I96" s="7">
        <f t="shared" si="3"/>
        <v>930</v>
      </c>
      <c r="K96" s="8"/>
      <c r="L96" s="7"/>
      <c r="N96" s="6"/>
      <c r="O96" s="7"/>
    </row>
    <row r="97" spans="1:15" ht="15">
      <c r="A97" s="8"/>
      <c r="B97" s="8"/>
      <c r="C97" s="8"/>
      <c r="D97" s="8"/>
      <c r="E97" s="8"/>
      <c r="F97" s="8"/>
      <c r="G97" s="8"/>
      <c r="H97" s="8"/>
      <c r="I97" s="7">
        <f t="shared" si="3"/>
        <v>0</v>
      </c>
      <c r="K97" s="8"/>
      <c r="L97" s="7"/>
      <c r="N97" s="6"/>
      <c r="O97" s="7"/>
    </row>
    <row r="98" spans="1:15" ht="15">
      <c r="A98" s="4" t="s">
        <v>88</v>
      </c>
      <c r="B98" s="4" t="s">
        <v>89</v>
      </c>
      <c r="C98" s="4">
        <v>186</v>
      </c>
      <c r="D98" s="4">
        <v>162</v>
      </c>
      <c r="E98" s="4">
        <v>143</v>
      </c>
      <c r="F98" s="4"/>
      <c r="G98" s="4">
        <v>177</v>
      </c>
      <c r="H98" s="4">
        <v>212</v>
      </c>
      <c r="I98" s="5">
        <f t="shared" si="3"/>
        <v>880</v>
      </c>
      <c r="K98" s="4" t="s">
        <v>0</v>
      </c>
      <c r="L98" s="5">
        <f>SUM(C98:C105)</f>
        <v>851</v>
      </c>
      <c r="N98" s="9" t="str">
        <f>A98</f>
        <v>Michigan State University</v>
      </c>
      <c r="O98" s="5">
        <f>SUM(L98:L103)</f>
        <v>5118</v>
      </c>
    </row>
    <row r="99" spans="1:15" ht="15">
      <c r="A99" s="4" t="s">
        <v>88</v>
      </c>
      <c r="B99" s="4" t="s">
        <v>90</v>
      </c>
      <c r="C99" s="4">
        <v>147</v>
      </c>
      <c r="D99" s="4"/>
      <c r="E99" s="4">
        <v>175</v>
      </c>
      <c r="F99" s="4">
        <v>176</v>
      </c>
      <c r="G99" s="4"/>
      <c r="H99" s="4">
        <v>170</v>
      </c>
      <c r="I99" s="5">
        <f t="shared" si="3"/>
        <v>668</v>
      </c>
      <c r="K99" s="4" t="s">
        <v>1</v>
      </c>
      <c r="L99" s="5">
        <f>SUM(D98:D105)</f>
        <v>813</v>
      </c>
      <c r="N99" s="9"/>
      <c r="O99" s="5"/>
    </row>
    <row r="100" spans="1:15" ht="15">
      <c r="A100" s="4" t="s">
        <v>88</v>
      </c>
      <c r="B100" s="4" t="s">
        <v>91</v>
      </c>
      <c r="C100" s="4">
        <v>165</v>
      </c>
      <c r="D100" s="4">
        <v>160</v>
      </c>
      <c r="E100" s="4">
        <v>202</v>
      </c>
      <c r="F100" s="4">
        <v>201</v>
      </c>
      <c r="G100" s="4">
        <v>181</v>
      </c>
      <c r="H100" s="4">
        <v>132</v>
      </c>
      <c r="I100" s="5">
        <f t="shared" si="3"/>
        <v>1041</v>
      </c>
      <c r="K100" s="4" t="s">
        <v>2</v>
      </c>
      <c r="L100" s="5">
        <f>SUM(E98:E105)</f>
        <v>824</v>
      </c>
      <c r="N100" s="9"/>
      <c r="O100" s="5"/>
    </row>
    <row r="101" spans="1:15" ht="15">
      <c r="A101" s="4" t="s">
        <v>88</v>
      </c>
      <c r="B101" s="4" t="s">
        <v>92</v>
      </c>
      <c r="C101" s="4">
        <v>156</v>
      </c>
      <c r="D101" s="4"/>
      <c r="E101" s="4">
        <v>135</v>
      </c>
      <c r="F101" s="4"/>
      <c r="G101" s="4">
        <v>186</v>
      </c>
      <c r="H101" s="4">
        <v>152</v>
      </c>
      <c r="I101" s="5">
        <f t="shared" si="3"/>
        <v>629</v>
      </c>
      <c r="K101" s="4" t="s">
        <v>4</v>
      </c>
      <c r="L101" s="5">
        <f>SUM(F98:F105)</f>
        <v>842</v>
      </c>
      <c r="N101" s="9"/>
      <c r="O101" s="5"/>
    </row>
    <row r="102" spans="1:15" ht="15">
      <c r="A102" s="4" t="s">
        <v>88</v>
      </c>
      <c r="B102" s="4" t="s">
        <v>93</v>
      </c>
      <c r="C102" s="4"/>
      <c r="D102" s="4"/>
      <c r="E102" s="4"/>
      <c r="F102" s="4"/>
      <c r="G102" s="4"/>
      <c r="H102" s="4"/>
      <c r="I102" s="5">
        <f t="shared" si="3"/>
        <v>0</v>
      </c>
      <c r="K102" s="4" t="s">
        <v>5</v>
      </c>
      <c r="L102" s="5">
        <f>SUM(G98:G105)</f>
        <v>894</v>
      </c>
      <c r="N102" s="9"/>
      <c r="O102" s="5"/>
    </row>
    <row r="103" spans="1:15" ht="15">
      <c r="A103" s="4" t="s">
        <v>88</v>
      </c>
      <c r="B103" s="4" t="s">
        <v>94</v>
      </c>
      <c r="C103" s="4"/>
      <c r="D103" s="4">
        <v>176</v>
      </c>
      <c r="E103" s="4">
        <v>169</v>
      </c>
      <c r="F103" s="4">
        <v>178</v>
      </c>
      <c r="G103" s="4">
        <v>150</v>
      </c>
      <c r="H103" s="4"/>
      <c r="I103" s="5">
        <f t="shared" si="3"/>
        <v>673</v>
      </c>
      <c r="K103" s="4" t="s">
        <v>6</v>
      </c>
      <c r="L103" s="5">
        <f>SUM(H98:H105)</f>
        <v>894</v>
      </c>
      <c r="N103" s="9"/>
      <c r="O103" s="5"/>
    </row>
    <row r="104" spans="1:15" ht="15">
      <c r="A104" s="4" t="s">
        <v>88</v>
      </c>
      <c r="B104" s="4" t="s">
        <v>95</v>
      </c>
      <c r="C104" s="4">
        <v>197</v>
      </c>
      <c r="D104" s="4">
        <v>158</v>
      </c>
      <c r="E104" s="4"/>
      <c r="F104" s="4">
        <v>153</v>
      </c>
      <c r="G104" s="4">
        <v>200</v>
      </c>
      <c r="H104" s="4">
        <v>228</v>
      </c>
      <c r="I104" s="5">
        <f t="shared" si="3"/>
        <v>936</v>
      </c>
      <c r="K104" s="5"/>
      <c r="L104" s="5"/>
      <c r="N104" s="9"/>
      <c r="O104" s="5"/>
    </row>
    <row r="105" spans="1:15" ht="15">
      <c r="A105" s="4" t="s">
        <v>88</v>
      </c>
      <c r="B105" s="4" t="s">
        <v>608</v>
      </c>
      <c r="C105" s="4"/>
      <c r="D105" s="4">
        <v>157</v>
      </c>
      <c r="E105" s="4"/>
      <c r="F105" s="4">
        <v>134</v>
      </c>
      <c r="G105" s="4"/>
      <c r="H105" s="4"/>
      <c r="I105" s="5">
        <f t="shared" si="3"/>
        <v>291</v>
      </c>
      <c r="K105" s="4"/>
      <c r="L105" s="5"/>
      <c r="N105" s="9"/>
      <c r="O105" s="5"/>
    </row>
    <row r="106" spans="1:15" ht="15">
      <c r="A106" s="8" t="s">
        <v>96</v>
      </c>
      <c r="B106" s="8" t="s">
        <v>97</v>
      </c>
      <c r="C106" s="8">
        <v>189</v>
      </c>
      <c r="D106" s="8">
        <v>163</v>
      </c>
      <c r="E106" s="8"/>
      <c r="F106" s="8"/>
      <c r="G106" s="8"/>
      <c r="H106" s="8"/>
      <c r="I106" s="7">
        <f t="shared" si="3"/>
        <v>352</v>
      </c>
      <c r="K106" s="8" t="s">
        <v>0</v>
      </c>
      <c r="L106" s="7">
        <f>SUM(C106:C113)</f>
        <v>907</v>
      </c>
      <c r="N106" s="6" t="str">
        <f>A106</f>
        <v>Morehead State University-Varsity</v>
      </c>
      <c r="O106" s="7">
        <f>SUM(L106:L111)</f>
        <v>5990</v>
      </c>
    </row>
    <row r="107" spans="1:15" ht="15">
      <c r="A107" s="8" t="s">
        <v>96</v>
      </c>
      <c r="B107" s="8" t="s">
        <v>98</v>
      </c>
      <c r="C107" s="8"/>
      <c r="D107" s="8">
        <v>214</v>
      </c>
      <c r="E107" s="8">
        <v>156</v>
      </c>
      <c r="F107" s="8">
        <v>208</v>
      </c>
      <c r="G107" s="8">
        <v>191</v>
      </c>
      <c r="H107" s="8">
        <v>235</v>
      </c>
      <c r="I107" s="7">
        <f t="shared" si="3"/>
        <v>1004</v>
      </c>
      <c r="K107" s="8" t="s">
        <v>1</v>
      </c>
      <c r="L107" s="7">
        <f>SUM(D106:D113)</f>
        <v>960</v>
      </c>
      <c r="N107" s="6"/>
      <c r="O107" s="7"/>
    </row>
    <row r="108" spans="1:15" ht="15">
      <c r="A108" s="8" t="s">
        <v>96</v>
      </c>
      <c r="B108" s="8" t="s">
        <v>99</v>
      </c>
      <c r="C108" s="8">
        <v>148</v>
      </c>
      <c r="D108" s="8"/>
      <c r="E108" s="8"/>
      <c r="F108" s="8"/>
      <c r="G108" s="8"/>
      <c r="H108" s="8"/>
      <c r="I108" s="7">
        <f t="shared" si="3"/>
        <v>148</v>
      </c>
      <c r="K108" s="8" t="s">
        <v>2</v>
      </c>
      <c r="L108" s="7">
        <f>SUM(E106:E113)</f>
        <v>929</v>
      </c>
      <c r="N108" s="6"/>
      <c r="O108" s="7"/>
    </row>
    <row r="109" spans="1:15" ht="15">
      <c r="A109" s="8" t="s">
        <v>96</v>
      </c>
      <c r="B109" s="8" t="s">
        <v>100</v>
      </c>
      <c r="C109" s="8">
        <v>231</v>
      </c>
      <c r="D109" s="8">
        <v>183</v>
      </c>
      <c r="E109" s="8">
        <v>159</v>
      </c>
      <c r="F109" s="8">
        <v>220</v>
      </c>
      <c r="G109" s="8">
        <v>207</v>
      </c>
      <c r="H109" s="8">
        <v>223</v>
      </c>
      <c r="I109" s="7">
        <f t="shared" si="3"/>
        <v>1223</v>
      </c>
      <c r="K109" s="8" t="s">
        <v>4</v>
      </c>
      <c r="L109" s="7">
        <f>SUM(F106:F113)</f>
        <v>1049</v>
      </c>
      <c r="N109" s="6"/>
      <c r="O109" s="7"/>
    </row>
    <row r="110" spans="1:15" ht="15">
      <c r="A110" s="8" t="s">
        <v>96</v>
      </c>
      <c r="B110" s="8" t="s">
        <v>101</v>
      </c>
      <c r="C110" s="8"/>
      <c r="D110" s="8"/>
      <c r="E110" s="8">
        <v>189</v>
      </c>
      <c r="F110" s="8">
        <v>220</v>
      </c>
      <c r="G110" s="8">
        <v>193</v>
      </c>
      <c r="H110" s="8">
        <v>244</v>
      </c>
      <c r="I110" s="7">
        <f t="shared" si="3"/>
        <v>846</v>
      </c>
      <c r="K110" s="8" t="s">
        <v>5</v>
      </c>
      <c r="L110" s="7">
        <f>SUM(G106:G113)</f>
        <v>1014</v>
      </c>
      <c r="N110" s="6"/>
      <c r="O110" s="7"/>
    </row>
    <row r="111" spans="1:15" ht="15">
      <c r="A111" s="8" t="s">
        <v>96</v>
      </c>
      <c r="B111" s="8" t="s">
        <v>102</v>
      </c>
      <c r="C111" s="8">
        <v>154</v>
      </c>
      <c r="D111" s="8">
        <v>159</v>
      </c>
      <c r="E111" s="8">
        <v>188</v>
      </c>
      <c r="F111" s="8">
        <v>200</v>
      </c>
      <c r="G111" s="8">
        <v>246</v>
      </c>
      <c r="H111" s="8">
        <v>187</v>
      </c>
      <c r="I111" s="7">
        <f t="shared" si="3"/>
        <v>1134</v>
      </c>
      <c r="K111" s="8" t="s">
        <v>6</v>
      </c>
      <c r="L111" s="7">
        <f>SUM(H106:H113)</f>
        <v>1131</v>
      </c>
      <c r="N111" s="6"/>
      <c r="O111" s="7"/>
    </row>
    <row r="112" spans="1:15" ht="15">
      <c r="A112" s="8" t="s">
        <v>96</v>
      </c>
      <c r="B112" s="8" t="s">
        <v>103</v>
      </c>
      <c r="C112" s="8">
        <v>185</v>
      </c>
      <c r="D112" s="8">
        <v>241</v>
      </c>
      <c r="E112" s="8">
        <v>237</v>
      </c>
      <c r="F112" s="8">
        <v>201</v>
      </c>
      <c r="G112" s="8">
        <v>177</v>
      </c>
      <c r="H112" s="8">
        <v>242</v>
      </c>
      <c r="I112" s="7">
        <f>SUM(C112:H112)</f>
        <v>1283</v>
      </c>
      <c r="K112" s="8"/>
      <c r="L112" s="7"/>
      <c r="N112" s="6"/>
      <c r="O112" s="7"/>
    </row>
    <row r="113" spans="1:15" ht="15">
      <c r="A113" s="8"/>
      <c r="B113" s="8"/>
      <c r="C113" s="8"/>
      <c r="D113" s="8"/>
      <c r="E113" s="8"/>
      <c r="F113" s="8"/>
      <c r="G113" s="8"/>
      <c r="H113" s="8"/>
      <c r="I113" s="7">
        <f t="shared" si="3"/>
        <v>0</v>
      </c>
      <c r="K113" s="8"/>
      <c r="L113" s="7"/>
      <c r="N113" s="6"/>
      <c r="O113" s="7"/>
    </row>
    <row r="114" spans="1:15" ht="15">
      <c r="A114" s="4" t="s">
        <v>104</v>
      </c>
      <c r="B114" s="4" t="s">
        <v>105</v>
      </c>
      <c r="C114" s="4">
        <v>151</v>
      </c>
      <c r="D114" s="4">
        <v>145</v>
      </c>
      <c r="E114" s="4">
        <v>201</v>
      </c>
      <c r="F114" s="4">
        <v>180</v>
      </c>
      <c r="G114" s="4">
        <v>225</v>
      </c>
      <c r="H114" s="4">
        <v>192</v>
      </c>
      <c r="I114" s="5">
        <f t="shared" si="3"/>
        <v>1094</v>
      </c>
      <c r="K114" s="4" t="s">
        <v>0</v>
      </c>
      <c r="L114" s="5">
        <f>SUM(C114:C121)</f>
        <v>862</v>
      </c>
      <c r="N114" s="9" t="str">
        <f>A114</f>
        <v>Morehead State University-Junior Varsity #1</v>
      </c>
      <c r="O114" s="5">
        <f>SUM(L114:L119)</f>
        <v>5704</v>
      </c>
    </row>
    <row r="115" spans="1:15" ht="15">
      <c r="A115" s="4" t="s">
        <v>106</v>
      </c>
      <c r="B115" s="4" t="s">
        <v>107</v>
      </c>
      <c r="C115" s="4"/>
      <c r="D115" s="4">
        <v>157</v>
      </c>
      <c r="E115" s="4"/>
      <c r="F115" s="4">
        <v>220</v>
      </c>
      <c r="G115" s="4">
        <v>228</v>
      </c>
      <c r="H115" s="4">
        <v>255</v>
      </c>
      <c r="I115" s="5">
        <f t="shared" si="3"/>
        <v>860</v>
      </c>
      <c r="K115" s="4" t="s">
        <v>1</v>
      </c>
      <c r="L115" s="5">
        <f>SUM(D114:D121)</f>
        <v>850</v>
      </c>
      <c r="N115" s="9"/>
      <c r="O115" s="5"/>
    </row>
    <row r="116" spans="1:15" ht="15">
      <c r="A116" s="4" t="s">
        <v>108</v>
      </c>
      <c r="B116" s="4" t="s">
        <v>109</v>
      </c>
      <c r="C116" s="4">
        <v>168</v>
      </c>
      <c r="D116" s="4">
        <v>181</v>
      </c>
      <c r="E116" s="4">
        <v>179</v>
      </c>
      <c r="F116" s="4"/>
      <c r="G116" s="4">
        <v>202</v>
      </c>
      <c r="H116" s="4">
        <v>224</v>
      </c>
      <c r="I116" s="5">
        <f t="shared" si="3"/>
        <v>954</v>
      </c>
      <c r="K116" s="4" t="s">
        <v>2</v>
      </c>
      <c r="L116" s="5">
        <f>SUM(E114:E121)</f>
        <v>914</v>
      </c>
      <c r="N116" s="9"/>
      <c r="O116" s="5"/>
    </row>
    <row r="117" spans="1:15" ht="15">
      <c r="A117" s="4" t="s">
        <v>110</v>
      </c>
      <c r="B117" s="4" t="s">
        <v>111</v>
      </c>
      <c r="C117" s="4">
        <v>151</v>
      </c>
      <c r="D117" s="4"/>
      <c r="E117" s="4"/>
      <c r="F117" s="4"/>
      <c r="G117" s="4"/>
      <c r="H117" s="4">
        <v>215</v>
      </c>
      <c r="I117" s="5">
        <f t="shared" si="3"/>
        <v>366</v>
      </c>
      <c r="K117" s="4" t="s">
        <v>4</v>
      </c>
      <c r="L117" s="5">
        <f>SUM(F114:F121)</f>
        <v>989</v>
      </c>
      <c r="N117" s="9"/>
      <c r="O117" s="5"/>
    </row>
    <row r="118" spans="1:15" ht="15">
      <c r="A118" s="4" t="s">
        <v>112</v>
      </c>
      <c r="B118" s="4" t="s">
        <v>113</v>
      </c>
      <c r="C118" s="4">
        <v>213</v>
      </c>
      <c r="D118" s="4">
        <v>179</v>
      </c>
      <c r="E118" s="4">
        <v>206</v>
      </c>
      <c r="F118" s="4">
        <v>199</v>
      </c>
      <c r="G118" s="4">
        <v>219</v>
      </c>
      <c r="H118" s="4">
        <v>180</v>
      </c>
      <c r="I118" s="5">
        <f t="shared" si="3"/>
        <v>1196</v>
      </c>
      <c r="K118" s="4" t="s">
        <v>5</v>
      </c>
      <c r="L118" s="5">
        <f>SUM(G114:G121)</f>
        <v>1023</v>
      </c>
      <c r="N118" s="9"/>
      <c r="O118" s="5"/>
    </row>
    <row r="119" spans="1:15" ht="15">
      <c r="A119" s="4" t="s">
        <v>114</v>
      </c>
      <c r="B119" s="4" t="s">
        <v>115</v>
      </c>
      <c r="C119" s="4"/>
      <c r="D119" s="4"/>
      <c r="E119" s="4">
        <v>160</v>
      </c>
      <c r="F119" s="4">
        <v>160</v>
      </c>
      <c r="G119" s="4"/>
      <c r="H119" s="4"/>
      <c r="I119" s="5">
        <f t="shared" si="3"/>
        <v>320</v>
      </c>
      <c r="K119" s="4" t="s">
        <v>6</v>
      </c>
      <c r="L119" s="5">
        <f>SUM(H114:H121)</f>
        <v>1066</v>
      </c>
      <c r="N119" s="9"/>
      <c r="O119" s="5"/>
    </row>
    <row r="120" spans="1:15" ht="15">
      <c r="A120" s="4" t="s">
        <v>116</v>
      </c>
      <c r="B120" s="4" t="s">
        <v>117</v>
      </c>
      <c r="C120" s="4">
        <v>179</v>
      </c>
      <c r="D120" s="4">
        <v>188</v>
      </c>
      <c r="E120" s="4">
        <v>168</v>
      </c>
      <c r="F120" s="4">
        <v>230</v>
      </c>
      <c r="G120" s="4">
        <v>149</v>
      </c>
      <c r="H120" s="4"/>
      <c r="I120" s="5">
        <f t="shared" si="3"/>
        <v>914</v>
      </c>
      <c r="K120" s="5"/>
      <c r="L120" s="5"/>
      <c r="N120" s="9"/>
      <c r="O120" s="5"/>
    </row>
    <row r="121" spans="1:15" ht="15">
      <c r="A121" s="9"/>
      <c r="B121" s="4"/>
      <c r="C121" s="4"/>
      <c r="D121" s="4"/>
      <c r="E121" s="4"/>
      <c r="F121" s="4"/>
      <c r="G121" s="4"/>
      <c r="H121" s="4"/>
      <c r="I121" s="5">
        <f t="shared" si="3"/>
        <v>0</v>
      </c>
      <c r="K121" s="4"/>
      <c r="L121" s="5"/>
      <c r="N121" s="9"/>
      <c r="O121" s="5"/>
    </row>
    <row r="122" spans="1:15" ht="15">
      <c r="A122" s="8" t="s">
        <v>106</v>
      </c>
      <c r="B122" s="8" t="s">
        <v>118</v>
      </c>
      <c r="C122" s="8">
        <v>169</v>
      </c>
      <c r="D122" s="8">
        <v>224</v>
      </c>
      <c r="E122" s="8">
        <v>178</v>
      </c>
      <c r="F122" s="8">
        <v>132</v>
      </c>
      <c r="G122" s="8">
        <v>160</v>
      </c>
      <c r="H122" s="8">
        <v>159</v>
      </c>
      <c r="I122" s="7">
        <f t="shared" si="3"/>
        <v>1022</v>
      </c>
      <c r="K122" s="8" t="s">
        <v>0</v>
      </c>
      <c r="L122" s="7">
        <f>SUM(C122:C129)</f>
        <v>829</v>
      </c>
      <c r="N122" s="6" t="str">
        <f>A122</f>
        <v>Morehead State University-Junior Varsity #2</v>
      </c>
      <c r="O122" s="7">
        <f>SUM(L122:L127)</f>
        <v>5056</v>
      </c>
    </row>
    <row r="123" spans="1:15" ht="15">
      <c r="A123" s="8" t="s">
        <v>108</v>
      </c>
      <c r="B123" s="8" t="s">
        <v>119</v>
      </c>
      <c r="C123" s="8">
        <v>152</v>
      </c>
      <c r="D123" s="8">
        <v>133</v>
      </c>
      <c r="E123" s="8"/>
      <c r="F123" s="8">
        <v>157</v>
      </c>
      <c r="G123" s="8">
        <v>133</v>
      </c>
      <c r="H123" s="8"/>
      <c r="I123" s="7">
        <f t="shared" si="3"/>
        <v>575</v>
      </c>
      <c r="K123" s="8" t="s">
        <v>1</v>
      </c>
      <c r="L123" s="7">
        <f>SUM(D122:D129)</f>
        <v>890</v>
      </c>
      <c r="N123" s="6"/>
      <c r="O123" s="7"/>
    </row>
    <row r="124" spans="1:15" ht="15">
      <c r="A124" s="8" t="s">
        <v>110</v>
      </c>
      <c r="B124" s="8" t="s">
        <v>120</v>
      </c>
      <c r="C124" s="8"/>
      <c r="D124" s="8">
        <v>165</v>
      </c>
      <c r="E124" s="8">
        <v>174</v>
      </c>
      <c r="F124" s="8">
        <v>202</v>
      </c>
      <c r="G124" s="8">
        <v>171</v>
      </c>
      <c r="H124" s="8">
        <v>176</v>
      </c>
      <c r="I124" s="7">
        <f t="shared" si="3"/>
        <v>888</v>
      </c>
      <c r="K124" s="8" t="s">
        <v>2</v>
      </c>
      <c r="L124" s="7">
        <f>SUM(E122:E129)</f>
        <v>823</v>
      </c>
      <c r="N124" s="6"/>
      <c r="O124" s="7"/>
    </row>
    <row r="125" spans="1:15" ht="15">
      <c r="A125" s="8" t="s">
        <v>112</v>
      </c>
      <c r="B125" s="8" t="s">
        <v>121</v>
      </c>
      <c r="C125" s="8">
        <v>203</v>
      </c>
      <c r="D125" s="8">
        <v>199</v>
      </c>
      <c r="E125" s="8">
        <v>136</v>
      </c>
      <c r="F125" s="8">
        <v>187</v>
      </c>
      <c r="G125" s="8">
        <v>164</v>
      </c>
      <c r="H125" s="8">
        <v>195</v>
      </c>
      <c r="I125" s="7">
        <f t="shared" si="3"/>
        <v>1084</v>
      </c>
      <c r="K125" s="8" t="s">
        <v>4</v>
      </c>
      <c r="L125" s="7">
        <f>SUM(F122:F129)</f>
        <v>825</v>
      </c>
      <c r="N125" s="6"/>
      <c r="O125" s="7"/>
    </row>
    <row r="126" spans="1:15" ht="15">
      <c r="A126" s="8" t="s">
        <v>114</v>
      </c>
      <c r="B126" s="8" t="s">
        <v>122</v>
      </c>
      <c r="C126" s="8">
        <v>182</v>
      </c>
      <c r="D126" s="8">
        <v>169</v>
      </c>
      <c r="E126" s="8">
        <v>160</v>
      </c>
      <c r="F126" s="8"/>
      <c r="G126" s="8"/>
      <c r="H126" s="8">
        <v>179</v>
      </c>
      <c r="I126" s="7">
        <f t="shared" si="3"/>
        <v>690</v>
      </c>
      <c r="K126" s="8" t="s">
        <v>5</v>
      </c>
      <c r="L126" s="7">
        <f>SUM(G122:G129)</f>
        <v>802</v>
      </c>
      <c r="N126" s="6"/>
      <c r="O126" s="7"/>
    </row>
    <row r="127" spans="1:15" ht="15">
      <c r="A127" s="8" t="s">
        <v>116</v>
      </c>
      <c r="B127" s="8" t="s">
        <v>123</v>
      </c>
      <c r="C127" s="8"/>
      <c r="D127" s="8"/>
      <c r="E127" s="8"/>
      <c r="F127" s="8">
        <v>147</v>
      </c>
      <c r="G127" s="8">
        <v>174</v>
      </c>
      <c r="H127" s="8">
        <v>178</v>
      </c>
      <c r="I127" s="7">
        <f t="shared" si="3"/>
        <v>499</v>
      </c>
      <c r="K127" s="8" t="s">
        <v>6</v>
      </c>
      <c r="L127" s="7">
        <f>SUM(H122:H129)</f>
        <v>887</v>
      </c>
      <c r="N127" s="6"/>
      <c r="O127" s="7"/>
    </row>
    <row r="128" spans="1:15" ht="15">
      <c r="A128" s="8" t="s">
        <v>124</v>
      </c>
      <c r="B128" s="8" t="s">
        <v>125</v>
      </c>
      <c r="C128" s="8">
        <v>123</v>
      </c>
      <c r="D128" s="8"/>
      <c r="E128" s="8">
        <v>175</v>
      </c>
      <c r="F128" s="8"/>
      <c r="G128" s="8"/>
      <c r="H128" s="8"/>
      <c r="I128" s="7">
        <f t="shared" si="3"/>
        <v>298</v>
      </c>
      <c r="K128" s="8"/>
      <c r="L128" s="7"/>
      <c r="N128" s="6"/>
      <c r="O128" s="7"/>
    </row>
    <row r="129" spans="1:15" ht="15">
      <c r="A129" s="8"/>
      <c r="B129" s="8"/>
      <c r="C129" s="8"/>
      <c r="D129" s="8"/>
      <c r="E129" s="8"/>
      <c r="F129" s="8"/>
      <c r="G129" s="8"/>
      <c r="H129" s="8"/>
      <c r="I129" s="7">
        <f t="shared" si="3"/>
        <v>0</v>
      </c>
      <c r="K129" s="8"/>
      <c r="L129" s="7"/>
      <c r="N129" s="6"/>
      <c r="O129" s="7"/>
    </row>
    <row r="130" spans="1:15" ht="15">
      <c r="A130" s="4" t="s">
        <v>126</v>
      </c>
      <c r="B130" s="4" t="s">
        <v>127</v>
      </c>
      <c r="C130" s="4">
        <v>194</v>
      </c>
      <c r="D130" s="4">
        <v>193</v>
      </c>
      <c r="E130" s="4">
        <v>158</v>
      </c>
      <c r="F130" s="4">
        <v>192</v>
      </c>
      <c r="G130" s="4">
        <v>194</v>
      </c>
      <c r="H130" s="4">
        <v>159</v>
      </c>
      <c r="I130" s="5">
        <f t="shared" si="3"/>
        <v>1090</v>
      </c>
      <c r="K130" s="4" t="s">
        <v>0</v>
      </c>
      <c r="L130" s="5">
        <f>SUM(C130:C137)</f>
        <v>794</v>
      </c>
      <c r="N130" s="9" t="str">
        <f>A130</f>
        <v>Muskingum University-Varsity</v>
      </c>
      <c r="O130" s="5">
        <f>SUM(L130:L135)</f>
        <v>4950</v>
      </c>
    </row>
    <row r="131" spans="1:15" ht="15">
      <c r="A131" s="4" t="s">
        <v>126</v>
      </c>
      <c r="B131" s="4" t="s">
        <v>128</v>
      </c>
      <c r="C131" s="4"/>
      <c r="D131" s="4">
        <v>130</v>
      </c>
      <c r="E131" s="4">
        <v>162</v>
      </c>
      <c r="F131" s="4">
        <v>129</v>
      </c>
      <c r="G131" s="4"/>
      <c r="H131" s="4">
        <v>174</v>
      </c>
      <c r="I131" s="5">
        <f t="shared" si="3"/>
        <v>595</v>
      </c>
      <c r="K131" s="4" t="s">
        <v>1</v>
      </c>
      <c r="L131" s="5">
        <f>SUM(D130:D137)</f>
        <v>818</v>
      </c>
      <c r="N131" s="9"/>
      <c r="O131" s="5"/>
    </row>
    <row r="132" spans="1:15" ht="15">
      <c r="A132" s="4" t="s">
        <v>126</v>
      </c>
      <c r="B132" s="4" t="s">
        <v>129</v>
      </c>
      <c r="C132" s="4"/>
      <c r="D132" s="4"/>
      <c r="E132" s="4"/>
      <c r="F132" s="4"/>
      <c r="G132" s="4"/>
      <c r="H132" s="4"/>
      <c r="I132" s="5">
        <f t="shared" si="3"/>
        <v>0</v>
      </c>
      <c r="K132" s="4" t="s">
        <v>2</v>
      </c>
      <c r="L132" s="5">
        <f>SUM(E130:E137)</f>
        <v>756</v>
      </c>
      <c r="N132" s="9"/>
      <c r="O132" s="5"/>
    </row>
    <row r="133" spans="1:15" ht="15">
      <c r="A133" s="4" t="s">
        <v>126</v>
      </c>
      <c r="B133" s="4" t="s">
        <v>130</v>
      </c>
      <c r="C133" s="4">
        <v>174</v>
      </c>
      <c r="D133" s="4">
        <v>201</v>
      </c>
      <c r="E133" s="4">
        <v>137</v>
      </c>
      <c r="F133" s="4">
        <v>147</v>
      </c>
      <c r="G133" s="4">
        <v>224</v>
      </c>
      <c r="H133" s="4">
        <v>191</v>
      </c>
      <c r="I133" s="5">
        <f t="shared" si="3"/>
        <v>1074</v>
      </c>
      <c r="K133" s="4" t="s">
        <v>4</v>
      </c>
      <c r="L133" s="5">
        <f>SUM(F130:F137)</f>
        <v>871</v>
      </c>
      <c r="N133" s="9"/>
      <c r="O133" s="5"/>
    </row>
    <row r="134" spans="1:15" ht="15">
      <c r="A134" s="4" t="s">
        <v>126</v>
      </c>
      <c r="B134" s="4" t="s">
        <v>131</v>
      </c>
      <c r="C134" s="4">
        <v>189</v>
      </c>
      <c r="D134" s="4">
        <v>178</v>
      </c>
      <c r="E134" s="4">
        <v>165</v>
      </c>
      <c r="F134" s="4">
        <v>253</v>
      </c>
      <c r="G134" s="4">
        <v>214</v>
      </c>
      <c r="H134" s="4">
        <v>201</v>
      </c>
      <c r="I134" s="5">
        <f t="shared" si="3"/>
        <v>1200</v>
      </c>
      <c r="K134" s="4" t="s">
        <v>5</v>
      </c>
      <c r="L134" s="5">
        <f>SUM(G130:G137)</f>
        <v>856</v>
      </c>
      <c r="N134" s="9"/>
      <c r="O134" s="5"/>
    </row>
    <row r="135" spans="1:15" ht="15">
      <c r="A135" s="4" t="s">
        <v>126</v>
      </c>
      <c r="B135" s="4" t="s">
        <v>132</v>
      </c>
      <c r="C135" s="4">
        <v>135</v>
      </c>
      <c r="D135" s="4"/>
      <c r="E135" s="4"/>
      <c r="F135" s="4">
        <v>150</v>
      </c>
      <c r="G135" s="4"/>
      <c r="H135" s="4"/>
      <c r="I135" s="5">
        <f t="shared" si="3"/>
        <v>285</v>
      </c>
      <c r="K135" s="4" t="s">
        <v>6</v>
      </c>
      <c r="L135" s="5">
        <f>SUM(H130:H137)</f>
        <v>855</v>
      </c>
      <c r="N135" s="9"/>
      <c r="O135" s="5"/>
    </row>
    <row r="136" spans="1:15" ht="15">
      <c r="A136" s="4" t="s">
        <v>126</v>
      </c>
      <c r="B136" s="4" t="s">
        <v>133</v>
      </c>
      <c r="C136" s="4">
        <v>102</v>
      </c>
      <c r="D136" s="4"/>
      <c r="E136" s="4"/>
      <c r="F136" s="4"/>
      <c r="G136" s="4">
        <v>122</v>
      </c>
      <c r="H136" s="4"/>
      <c r="I136" s="5">
        <f t="shared" si="3"/>
        <v>224</v>
      </c>
      <c r="K136" s="5"/>
      <c r="L136" s="5"/>
      <c r="N136" s="9"/>
      <c r="O136" s="5"/>
    </row>
    <row r="137" spans="1:15" ht="15">
      <c r="A137" s="4" t="s">
        <v>126</v>
      </c>
      <c r="B137" s="4" t="s">
        <v>134</v>
      </c>
      <c r="C137" s="4"/>
      <c r="D137" s="4">
        <v>116</v>
      </c>
      <c r="E137" s="4">
        <v>134</v>
      </c>
      <c r="F137" s="4"/>
      <c r="G137" s="4">
        <v>102</v>
      </c>
      <c r="H137" s="4">
        <v>130</v>
      </c>
      <c r="I137" s="5">
        <f t="shared" si="3"/>
        <v>482</v>
      </c>
      <c r="K137" s="4"/>
      <c r="L137" s="5"/>
      <c r="N137" s="9"/>
      <c r="O137" s="5"/>
    </row>
    <row r="138" spans="1:15" ht="15">
      <c r="A138" s="8" t="s">
        <v>135</v>
      </c>
      <c r="B138" s="8" t="s">
        <v>136</v>
      </c>
      <c r="C138" s="8">
        <v>151</v>
      </c>
      <c r="D138" s="8"/>
      <c r="E138" s="8"/>
      <c r="F138" s="8">
        <v>154</v>
      </c>
      <c r="G138" s="8">
        <v>141</v>
      </c>
      <c r="H138" s="8">
        <v>183</v>
      </c>
      <c r="I138" s="7">
        <f t="shared" si="3"/>
        <v>629</v>
      </c>
      <c r="K138" s="8" t="s">
        <v>0</v>
      </c>
      <c r="L138" s="7">
        <f>SUM(C138:C145)</f>
        <v>762</v>
      </c>
      <c r="N138" s="6" t="str">
        <f>A138</f>
        <v>Northern Kentucky University-Varsity</v>
      </c>
      <c r="O138" s="7">
        <f>SUM(L138:L143)</f>
        <v>4800</v>
      </c>
    </row>
    <row r="139" spans="1:15" ht="15">
      <c r="A139" s="8" t="s">
        <v>135</v>
      </c>
      <c r="B139" s="8" t="s">
        <v>137</v>
      </c>
      <c r="C139" s="8">
        <v>149</v>
      </c>
      <c r="D139" s="8">
        <v>180</v>
      </c>
      <c r="E139" s="8">
        <v>146</v>
      </c>
      <c r="F139" s="8">
        <v>159</v>
      </c>
      <c r="G139" s="8"/>
      <c r="H139" s="8">
        <v>162</v>
      </c>
      <c r="I139" s="7">
        <f t="shared" si="3"/>
        <v>796</v>
      </c>
      <c r="K139" s="8" t="s">
        <v>1</v>
      </c>
      <c r="L139" s="7">
        <f>SUM(D138:D145)</f>
        <v>731</v>
      </c>
      <c r="N139" s="6"/>
      <c r="O139" s="7"/>
    </row>
    <row r="140" spans="1:15" ht="15">
      <c r="A140" s="8" t="s">
        <v>135</v>
      </c>
      <c r="B140" s="8" t="s">
        <v>138</v>
      </c>
      <c r="C140" s="8">
        <v>176</v>
      </c>
      <c r="D140" s="8"/>
      <c r="E140" s="8">
        <v>158</v>
      </c>
      <c r="F140" s="8">
        <v>178</v>
      </c>
      <c r="G140" s="8">
        <v>155</v>
      </c>
      <c r="H140" s="8">
        <v>128</v>
      </c>
      <c r="I140" s="7">
        <f t="shared" si="3"/>
        <v>795</v>
      </c>
      <c r="K140" s="8" t="s">
        <v>2</v>
      </c>
      <c r="L140" s="7">
        <f>SUM(E138:E145)</f>
        <v>836</v>
      </c>
      <c r="N140" s="6"/>
      <c r="O140" s="7"/>
    </row>
    <row r="141" spans="1:15" ht="15">
      <c r="A141" s="8" t="s">
        <v>135</v>
      </c>
      <c r="B141" s="8" t="s">
        <v>139</v>
      </c>
      <c r="C141" s="8">
        <v>113</v>
      </c>
      <c r="D141" s="8"/>
      <c r="E141" s="8">
        <v>154</v>
      </c>
      <c r="F141" s="8"/>
      <c r="G141" s="8"/>
      <c r="H141" s="8">
        <v>122</v>
      </c>
      <c r="I141" s="7">
        <f t="shared" si="3"/>
        <v>389</v>
      </c>
      <c r="K141" s="8" t="s">
        <v>4</v>
      </c>
      <c r="L141" s="7">
        <f>SUM(F138:F145)</f>
        <v>882</v>
      </c>
      <c r="N141" s="6"/>
      <c r="O141" s="7"/>
    </row>
    <row r="142" spans="1:15" ht="15">
      <c r="A142" s="8" t="s">
        <v>135</v>
      </c>
      <c r="B142" s="8" t="s">
        <v>140</v>
      </c>
      <c r="C142" s="8"/>
      <c r="D142" s="8">
        <v>169</v>
      </c>
      <c r="E142" s="8">
        <v>203</v>
      </c>
      <c r="F142" s="8">
        <v>201</v>
      </c>
      <c r="G142" s="8">
        <v>188</v>
      </c>
      <c r="H142" s="8"/>
      <c r="I142" s="7">
        <f t="shared" si="3"/>
        <v>761</v>
      </c>
      <c r="K142" s="8" t="s">
        <v>5</v>
      </c>
      <c r="L142" s="7">
        <f>SUM(G138:G145)</f>
        <v>764</v>
      </c>
      <c r="N142" s="6"/>
      <c r="O142" s="7"/>
    </row>
    <row r="143" spans="1:15" ht="15">
      <c r="A143" s="8" t="s">
        <v>135</v>
      </c>
      <c r="B143" s="8" t="s">
        <v>141</v>
      </c>
      <c r="C143" s="8"/>
      <c r="D143" s="8">
        <v>109</v>
      </c>
      <c r="E143" s="8"/>
      <c r="F143" s="8"/>
      <c r="G143" s="8">
        <v>115</v>
      </c>
      <c r="H143" s="8"/>
      <c r="I143" s="7">
        <f t="shared" si="3"/>
        <v>224</v>
      </c>
      <c r="K143" s="8" t="s">
        <v>6</v>
      </c>
      <c r="L143" s="7">
        <f>SUM(H138:H145)</f>
        <v>825</v>
      </c>
      <c r="N143" s="6"/>
      <c r="O143" s="7"/>
    </row>
    <row r="144" spans="1:15" ht="15">
      <c r="A144" s="8" t="s">
        <v>135</v>
      </c>
      <c r="B144" s="8" t="s">
        <v>142</v>
      </c>
      <c r="C144" s="8">
        <v>173</v>
      </c>
      <c r="D144" s="8">
        <v>165</v>
      </c>
      <c r="E144" s="8">
        <v>175</v>
      </c>
      <c r="F144" s="8">
        <v>190</v>
      </c>
      <c r="G144" s="8">
        <v>165</v>
      </c>
      <c r="H144" s="8">
        <v>230</v>
      </c>
      <c r="I144" s="7">
        <f t="shared" si="3"/>
        <v>1098</v>
      </c>
      <c r="K144" s="8"/>
      <c r="L144" s="7"/>
      <c r="N144" s="6"/>
      <c r="O144" s="7"/>
    </row>
    <row r="145" spans="1:15" ht="15">
      <c r="A145" s="8" t="s">
        <v>135</v>
      </c>
      <c r="B145" s="8" t="s">
        <v>143</v>
      </c>
      <c r="C145" s="8"/>
      <c r="D145" s="8">
        <v>108</v>
      </c>
      <c r="E145" s="8"/>
      <c r="F145" s="8"/>
      <c r="G145" s="8"/>
      <c r="H145" s="8"/>
      <c r="I145" s="7">
        <f t="shared" si="3"/>
        <v>108</v>
      </c>
      <c r="K145" s="8"/>
      <c r="L145" s="7"/>
      <c r="N145" s="6"/>
      <c r="O145" s="7"/>
    </row>
    <row r="146" spans="1:15" ht="15">
      <c r="A146" s="4" t="s">
        <v>144</v>
      </c>
      <c r="B146" s="4" t="s">
        <v>145</v>
      </c>
      <c r="C146" s="4">
        <v>182</v>
      </c>
      <c r="D146" s="4">
        <v>198</v>
      </c>
      <c r="E146" s="4">
        <v>184</v>
      </c>
      <c r="F146" s="4">
        <v>188</v>
      </c>
      <c r="G146" s="4">
        <v>204</v>
      </c>
      <c r="H146" s="4">
        <v>198</v>
      </c>
      <c r="I146" s="5">
        <f t="shared" si="3"/>
        <v>1154</v>
      </c>
      <c r="K146" s="4" t="s">
        <v>0</v>
      </c>
      <c r="L146" s="5">
        <f>SUM(C146:C153)</f>
        <v>856</v>
      </c>
      <c r="N146" s="9" t="str">
        <f>A146</f>
        <v>Notre Dame College-Varsity</v>
      </c>
      <c r="O146" s="5">
        <f>SUM(L146:L151)</f>
        <v>5736</v>
      </c>
    </row>
    <row r="147" spans="1:15" ht="15">
      <c r="A147" s="4" t="s">
        <v>144</v>
      </c>
      <c r="B147" s="4" t="s">
        <v>146</v>
      </c>
      <c r="C147" s="4">
        <v>224</v>
      </c>
      <c r="D147" s="4">
        <v>137</v>
      </c>
      <c r="E147" s="4">
        <v>204</v>
      </c>
      <c r="F147" s="4">
        <v>180</v>
      </c>
      <c r="G147" s="4">
        <v>237</v>
      </c>
      <c r="H147" s="4">
        <v>230</v>
      </c>
      <c r="I147" s="5">
        <f t="shared" si="3"/>
        <v>1212</v>
      </c>
      <c r="K147" s="4" t="s">
        <v>1</v>
      </c>
      <c r="L147" s="5">
        <f>SUM(D146:D153)</f>
        <v>857</v>
      </c>
      <c r="N147" s="9"/>
      <c r="O147" s="5"/>
    </row>
    <row r="148" spans="1:15" ht="15">
      <c r="A148" s="4" t="s">
        <v>144</v>
      </c>
      <c r="B148" s="4" t="s">
        <v>147</v>
      </c>
      <c r="C148" s="4">
        <v>162</v>
      </c>
      <c r="D148" s="4">
        <v>193</v>
      </c>
      <c r="E148" s="4"/>
      <c r="F148" s="4"/>
      <c r="G148" s="4"/>
      <c r="H148" s="4"/>
      <c r="I148" s="5">
        <f t="shared" si="3"/>
        <v>355</v>
      </c>
      <c r="K148" s="4" t="s">
        <v>2</v>
      </c>
      <c r="L148" s="5">
        <f>SUM(E146:E153)</f>
        <v>932</v>
      </c>
      <c r="N148" s="9"/>
      <c r="O148" s="5"/>
    </row>
    <row r="149" spans="1:15" ht="15">
      <c r="A149" s="4" t="s">
        <v>144</v>
      </c>
      <c r="B149" s="4" t="s">
        <v>148</v>
      </c>
      <c r="C149" s="4"/>
      <c r="D149" s="4"/>
      <c r="E149" s="4"/>
      <c r="F149" s="4">
        <v>168</v>
      </c>
      <c r="G149" s="4">
        <v>246</v>
      </c>
      <c r="H149" s="4">
        <v>174</v>
      </c>
      <c r="I149" s="5">
        <f t="shared" si="3"/>
        <v>588</v>
      </c>
      <c r="K149" s="4" t="s">
        <v>4</v>
      </c>
      <c r="L149" s="5">
        <f>SUM(F146:F153)</f>
        <v>977</v>
      </c>
      <c r="N149" s="9"/>
      <c r="O149" s="5"/>
    </row>
    <row r="150" spans="1:15" ht="15">
      <c r="A150" s="4" t="s">
        <v>144</v>
      </c>
      <c r="B150" s="4" t="s">
        <v>149</v>
      </c>
      <c r="C150" s="4">
        <v>172</v>
      </c>
      <c r="D150" s="4">
        <v>134</v>
      </c>
      <c r="E150" s="4">
        <v>177</v>
      </c>
      <c r="F150" s="4"/>
      <c r="G150" s="4"/>
      <c r="H150" s="4"/>
      <c r="I150" s="5">
        <f t="shared" si="3"/>
        <v>483</v>
      </c>
      <c r="K150" s="4" t="s">
        <v>5</v>
      </c>
      <c r="L150" s="5">
        <f>SUM(G146:G153)</f>
        <v>1106</v>
      </c>
      <c r="N150" s="9"/>
      <c r="O150" s="5"/>
    </row>
    <row r="151" spans="1:15" ht="15">
      <c r="A151" s="4" t="s">
        <v>144</v>
      </c>
      <c r="B151" s="4" t="s">
        <v>150</v>
      </c>
      <c r="C151" s="4"/>
      <c r="D151" s="4">
        <v>195</v>
      </c>
      <c r="E151" s="4">
        <v>135</v>
      </c>
      <c r="F151" s="4"/>
      <c r="G151" s="4"/>
      <c r="H151" s="4"/>
      <c r="I151" s="5">
        <f t="shared" si="3"/>
        <v>330</v>
      </c>
      <c r="K151" s="4" t="s">
        <v>6</v>
      </c>
      <c r="L151" s="5">
        <f>SUM(H146:H153)</f>
        <v>1008</v>
      </c>
      <c r="N151" s="9"/>
      <c r="O151" s="5"/>
    </row>
    <row r="152" spans="1:15" ht="15">
      <c r="A152" s="4" t="s">
        <v>144</v>
      </c>
      <c r="B152" s="4" t="s">
        <v>151</v>
      </c>
      <c r="C152" s="4">
        <v>116</v>
      </c>
      <c r="D152" s="4"/>
      <c r="E152" s="4"/>
      <c r="F152" s="4">
        <v>205</v>
      </c>
      <c r="G152" s="4">
        <v>200</v>
      </c>
      <c r="H152" s="4">
        <v>192</v>
      </c>
      <c r="I152" s="5">
        <f t="shared" si="3"/>
        <v>713</v>
      </c>
      <c r="K152" s="5"/>
      <c r="L152" s="5"/>
      <c r="N152" s="9"/>
      <c r="O152" s="5"/>
    </row>
    <row r="153" spans="1:15" ht="15">
      <c r="A153" s="4" t="s">
        <v>144</v>
      </c>
      <c r="B153" s="4" t="s">
        <v>152</v>
      </c>
      <c r="C153" s="4"/>
      <c r="D153" s="4"/>
      <c r="E153" s="4">
        <v>232</v>
      </c>
      <c r="F153" s="4">
        <v>236</v>
      </c>
      <c r="G153" s="4">
        <v>219</v>
      </c>
      <c r="H153" s="4">
        <v>214</v>
      </c>
      <c r="I153" s="5">
        <f t="shared" si="3"/>
        <v>901</v>
      </c>
      <c r="K153" s="4"/>
      <c r="L153" s="5"/>
      <c r="N153" s="9"/>
      <c r="O153" s="5"/>
    </row>
    <row r="154" spans="1:15" ht="15">
      <c r="A154" s="8" t="s">
        <v>153</v>
      </c>
      <c r="B154" s="8" t="s">
        <v>154</v>
      </c>
      <c r="C154" s="8">
        <v>190</v>
      </c>
      <c r="D154" s="8">
        <v>225</v>
      </c>
      <c r="E154" s="8">
        <v>200</v>
      </c>
      <c r="F154" s="8">
        <v>167</v>
      </c>
      <c r="G154" s="8">
        <v>185</v>
      </c>
      <c r="H154" s="8">
        <v>211</v>
      </c>
      <c r="I154" s="7">
        <f aca="true" t="shared" si="4" ref="I154:I217">SUM(C154:H154)</f>
        <v>1178</v>
      </c>
      <c r="K154" s="8" t="s">
        <v>0</v>
      </c>
      <c r="L154" s="7">
        <f>SUM(C154:C161)</f>
        <v>911</v>
      </c>
      <c r="N154" s="6" t="str">
        <f>A154</f>
        <v>Notre Dame College-Junior Varsity</v>
      </c>
      <c r="O154" s="7">
        <f>SUM(L154:L159)</f>
        <v>5418</v>
      </c>
    </row>
    <row r="155" spans="1:15" ht="15">
      <c r="A155" s="8" t="s">
        <v>153</v>
      </c>
      <c r="B155" s="8" t="s">
        <v>155</v>
      </c>
      <c r="C155" s="8">
        <v>177</v>
      </c>
      <c r="D155" s="8">
        <v>174</v>
      </c>
      <c r="E155" s="8">
        <v>192</v>
      </c>
      <c r="F155" s="8">
        <v>133</v>
      </c>
      <c r="G155" s="8"/>
      <c r="H155" s="8">
        <v>142</v>
      </c>
      <c r="I155" s="7">
        <f t="shared" si="4"/>
        <v>818</v>
      </c>
      <c r="K155" s="8" t="s">
        <v>1</v>
      </c>
      <c r="L155" s="7">
        <f>SUM(D154:D161)</f>
        <v>988</v>
      </c>
      <c r="N155" s="6"/>
      <c r="O155" s="7"/>
    </row>
    <row r="156" spans="1:15" ht="15">
      <c r="A156" s="8" t="s">
        <v>153</v>
      </c>
      <c r="B156" s="8" t="s">
        <v>156</v>
      </c>
      <c r="C156" s="8">
        <v>221</v>
      </c>
      <c r="D156" s="8">
        <v>205</v>
      </c>
      <c r="E156" s="8">
        <v>137</v>
      </c>
      <c r="F156" s="8">
        <v>229</v>
      </c>
      <c r="G156" s="8">
        <v>149</v>
      </c>
      <c r="H156" s="8">
        <v>192</v>
      </c>
      <c r="I156" s="7">
        <f t="shared" si="4"/>
        <v>1133</v>
      </c>
      <c r="K156" s="8" t="s">
        <v>2</v>
      </c>
      <c r="L156" s="7">
        <f>SUM(E154:E161)</f>
        <v>898</v>
      </c>
      <c r="N156" s="6"/>
      <c r="O156" s="7"/>
    </row>
    <row r="157" spans="1:15" ht="15">
      <c r="A157" s="8" t="s">
        <v>153</v>
      </c>
      <c r="B157" s="8" t="s">
        <v>157</v>
      </c>
      <c r="C157" s="8"/>
      <c r="D157" s="8"/>
      <c r="E157" s="8"/>
      <c r="F157" s="8"/>
      <c r="G157" s="8">
        <v>124</v>
      </c>
      <c r="H157" s="8"/>
      <c r="I157" s="7">
        <f t="shared" si="4"/>
        <v>124</v>
      </c>
      <c r="K157" s="8" t="s">
        <v>4</v>
      </c>
      <c r="L157" s="7">
        <f>SUM(F154:F161)</f>
        <v>918</v>
      </c>
      <c r="N157" s="6"/>
      <c r="O157" s="7"/>
    </row>
    <row r="158" spans="1:15" ht="15">
      <c r="A158" s="8" t="s">
        <v>153</v>
      </c>
      <c r="B158" s="8" t="s">
        <v>158</v>
      </c>
      <c r="C158" s="8">
        <v>142</v>
      </c>
      <c r="D158" s="8"/>
      <c r="E158" s="8"/>
      <c r="F158" s="8"/>
      <c r="G158" s="8"/>
      <c r="H158" s="8"/>
      <c r="I158" s="7">
        <f t="shared" si="4"/>
        <v>142</v>
      </c>
      <c r="K158" s="8" t="s">
        <v>5</v>
      </c>
      <c r="L158" s="7">
        <f>SUM(G154:G161)</f>
        <v>809</v>
      </c>
      <c r="N158" s="6"/>
      <c r="O158" s="7"/>
    </row>
    <row r="159" spans="1:15" ht="15">
      <c r="A159" s="8" t="s">
        <v>153</v>
      </c>
      <c r="B159" s="8" t="s">
        <v>159</v>
      </c>
      <c r="C159" s="8">
        <v>181</v>
      </c>
      <c r="D159" s="8">
        <v>185</v>
      </c>
      <c r="E159" s="8">
        <v>197</v>
      </c>
      <c r="F159" s="8">
        <v>211</v>
      </c>
      <c r="G159" s="8">
        <v>184</v>
      </c>
      <c r="H159" s="8">
        <v>202</v>
      </c>
      <c r="I159" s="7">
        <f t="shared" si="4"/>
        <v>1160</v>
      </c>
      <c r="K159" s="8" t="s">
        <v>6</v>
      </c>
      <c r="L159" s="7">
        <f>SUM(H154:H161)</f>
        <v>894</v>
      </c>
      <c r="N159" s="6"/>
      <c r="O159" s="7"/>
    </row>
    <row r="160" spans="1:15" ht="15">
      <c r="A160" s="8" t="s">
        <v>153</v>
      </c>
      <c r="B160" s="8" t="s">
        <v>160</v>
      </c>
      <c r="C160" s="8"/>
      <c r="D160" s="8">
        <v>199</v>
      </c>
      <c r="E160" s="8">
        <v>172</v>
      </c>
      <c r="F160" s="8">
        <v>178</v>
      </c>
      <c r="G160" s="8">
        <v>167</v>
      </c>
      <c r="H160" s="8">
        <v>147</v>
      </c>
      <c r="I160" s="7">
        <f t="shared" si="4"/>
        <v>863</v>
      </c>
      <c r="K160" s="8"/>
      <c r="L160" s="7"/>
      <c r="N160" s="6"/>
      <c r="O160" s="7"/>
    </row>
    <row r="161" spans="1:15" ht="15">
      <c r="A161" s="8" t="s">
        <v>153</v>
      </c>
      <c r="B161" s="8" t="s">
        <v>161</v>
      </c>
      <c r="C161" s="8"/>
      <c r="D161" s="8"/>
      <c r="E161" s="8"/>
      <c r="F161" s="8"/>
      <c r="G161" s="8"/>
      <c r="H161" s="8"/>
      <c r="I161" s="7">
        <f t="shared" si="4"/>
        <v>0</v>
      </c>
      <c r="K161" s="8"/>
      <c r="L161" s="7"/>
      <c r="N161" s="6"/>
      <c r="O161" s="7"/>
    </row>
    <row r="162" spans="1:15" ht="15">
      <c r="A162" s="4" t="s">
        <v>162</v>
      </c>
      <c r="B162" s="4" t="s">
        <v>183</v>
      </c>
      <c r="C162" s="4"/>
      <c r="D162" s="4"/>
      <c r="E162" s="4"/>
      <c r="F162" s="4"/>
      <c r="G162" s="4"/>
      <c r="H162" s="4"/>
      <c r="I162" s="5">
        <f t="shared" si="4"/>
        <v>0</v>
      </c>
      <c r="K162" s="4" t="s">
        <v>0</v>
      </c>
      <c r="L162" s="5">
        <f>SUM(C162:C169)</f>
        <v>844</v>
      </c>
      <c r="N162" s="9" t="str">
        <f>A162</f>
        <v>Purdue University-Varsity</v>
      </c>
      <c r="O162" s="5">
        <f>SUM(L162:L167)</f>
        <v>5459</v>
      </c>
    </row>
    <row r="163" spans="1:15" ht="15">
      <c r="A163" s="4" t="s">
        <v>162</v>
      </c>
      <c r="B163" s="4" t="s">
        <v>164</v>
      </c>
      <c r="C163" s="4">
        <v>187</v>
      </c>
      <c r="D163" s="4">
        <v>196</v>
      </c>
      <c r="E163" s="4">
        <v>212</v>
      </c>
      <c r="F163" s="4">
        <v>178</v>
      </c>
      <c r="G163" s="4">
        <v>162</v>
      </c>
      <c r="H163" s="4">
        <v>215</v>
      </c>
      <c r="I163" s="5">
        <f t="shared" si="4"/>
        <v>1150</v>
      </c>
      <c r="K163" s="4" t="s">
        <v>1</v>
      </c>
      <c r="L163" s="5">
        <f>SUM(D162:D169)</f>
        <v>923</v>
      </c>
      <c r="N163" s="9"/>
      <c r="O163" s="5"/>
    </row>
    <row r="164" spans="1:15" ht="15">
      <c r="A164" s="4" t="s">
        <v>162</v>
      </c>
      <c r="B164" s="4" t="s">
        <v>165</v>
      </c>
      <c r="C164" s="4">
        <v>168</v>
      </c>
      <c r="D164" s="4">
        <v>186</v>
      </c>
      <c r="E164" s="4">
        <v>221</v>
      </c>
      <c r="F164" s="4">
        <v>176</v>
      </c>
      <c r="G164" s="4">
        <v>158</v>
      </c>
      <c r="H164" s="4">
        <v>168</v>
      </c>
      <c r="I164" s="5">
        <f t="shared" si="4"/>
        <v>1077</v>
      </c>
      <c r="K164" s="4" t="s">
        <v>2</v>
      </c>
      <c r="L164" s="5">
        <f>SUM(E162:E169)</f>
        <v>973</v>
      </c>
      <c r="N164" s="9"/>
      <c r="O164" s="5"/>
    </row>
    <row r="165" spans="1:15" ht="15">
      <c r="A165" s="4" t="s">
        <v>162</v>
      </c>
      <c r="B165" s="4" t="s">
        <v>166</v>
      </c>
      <c r="C165" s="4">
        <v>139</v>
      </c>
      <c r="D165" s="4">
        <v>168</v>
      </c>
      <c r="E165" s="4">
        <v>159</v>
      </c>
      <c r="F165" s="4">
        <v>168</v>
      </c>
      <c r="G165" s="4">
        <v>184</v>
      </c>
      <c r="H165" s="4">
        <v>194</v>
      </c>
      <c r="I165" s="5">
        <f t="shared" si="4"/>
        <v>1012</v>
      </c>
      <c r="K165" s="4" t="s">
        <v>4</v>
      </c>
      <c r="L165" s="5">
        <f>SUM(F162:F169)</f>
        <v>870</v>
      </c>
      <c r="N165" s="9"/>
      <c r="O165" s="5"/>
    </row>
    <row r="166" spans="1:15" ht="15">
      <c r="A166" s="4" t="s">
        <v>162</v>
      </c>
      <c r="B166" s="4" t="s">
        <v>167</v>
      </c>
      <c r="C166" s="4"/>
      <c r="D166" s="4"/>
      <c r="E166" s="4"/>
      <c r="F166" s="4"/>
      <c r="G166" s="4"/>
      <c r="H166" s="4"/>
      <c r="I166" s="5">
        <f t="shared" si="4"/>
        <v>0</v>
      </c>
      <c r="K166" s="4" t="s">
        <v>5</v>
      </c>
      <c r="L166" s="5">
        <f>SUM(G162:G169)</f>
        <v>917</v>
      </c>
      <c r="N166" s="9"/>
      <c r="O166" s="5"/>
    </row>
    <row r="167" spans="1:15" ht="15">
      <c r="A167" s="4" t="s">
        <v>162</v>
      </c>
      <c r="B167" s="4" t="s">
        <v>168</v>
      </c>
      <c r="C167" s="4">
        <v>158</v>
      </c>
      <c r="D167" s="4">
        <v>191</v>
      </c>
      <c r="E167" s="4">
        <v>174</v>
      </c>
      <c r="F167" s="4">
        <v>188</v>
      </c>
      <c r="G167" s="4">
        <v>184</v>
      </c>
      <c r="H167" s="4">
        <v>150</v>
      </c>
      <c r="I167" s="5">
        <f t="shared" si="4"/>
        <v>1045</v>
      </c>
      <c r="K167" s="4" t="s">
        <v>6</v>
      </c>
      <c r="L167" s="5">
        <f>SUM(H162:H169)</f>
        <v>932</v>
      </c>
      <c r="N167" s="9"/>
      <c r="O167" s="5"/>
    </row>
    <row r="168" spans="1:15" ht="15">
      <c r="A168" s="4" t="s">
        <v>162</v>
      </c>
      <c r="B168" s="4" t="s">
        <v>169</v>
      </c>
      <c r="C168" s="4">
        <v>192</v>
      </c>
      <c r="D168" s="4">
        <v>182</v>
      </c>
      <c r="E168" s="4">
        <v>207</v>
      </c>
      <c r="F168" s="4">
        <v>160</v>
      </c>
      <c r="G168" s="4">
        <v>229</v>
      </c>
      <c r="H168" s="4">
        <v>205</v>
      </c>
      <c r="I168" s="5">
        <f t="shared" si="4"/>
        <v>1175</v>
      </c>
      <c r="K168" s="5"/>
      <c r="L168" s="5"/>
      <c r="N168" s="9"/>
      <c r="O168" s="5"/>
    </row>
    <row r="169" spans="1:15" ht="15">
      <c r="A169" s="9"/>
      <c r="B169" s="4"/>
      <c r="C169" s="4"/>
      <c r="D169" s="4"/>
      <c r="E169" s="4"/>
      <c r="F169" s="4"/>
      <c r="G169" s="4"/>
      <c r="H169" s="4"/>
      <c r="I169" s="5">
        <f t="shared" si="4"/>
        <v>0</v>
      </c>
      <c r="K169" s="4"/>
      <c r="L169" s="5"/>
      <c r="N169" s="9"/>
      <c r="O169" s="5"/>
    </row>
    <row r="170" spans="1:15" ht="15">
      <c r="A170" s="8" t="s">
        <v>172</v>
      </c>
      <c r="B170" s="8" t="s">
        <v>171</v>
      </c>
      <c r="C170" s="8">
        <v>131</v>
      </c>
      <c r="D170" s="8">
        <v>150</v>
      </c>
      <c r="E170" s="8">
        <v>159</v>
      </c>
      <c r="F170" s="8">
        <v>173</v>
      </c>
      <c r="G170" s="8">
        <v>128</v>
      </c>
      <c r="H170" s="8">
        <v>199</v>
      </c>
      <c r="I170" s="7">
        <f t="shared" si="4"/>
        <v>940</v>
      </c>
      <c r="K170" s="8" t="s">
        <v>0</v>
      </c>
      <c r="L170" s="7">
        <f>SUM(C170:C177)</f>
        <v>713</v>
      </c>
      <c r="N170" s="6" t="str">
        <f>A170</f>
        <v>Purdue University-Junior Varsity Team #2</v>
      </c>
      <c r="O170" s="7">
        <f>SUM(L170:L175)</f>
        <v>4416</v>
      </c>
    </row>
    <row r="171" spans="1:15" ht="15">
      <c r="A171" s="8" t="s">
        <v>172</v>
      </c>
      <c r="B171" s="8" t="s">
        <v>173</v>
      </c>
      <c r="C171" s="8">
        <v>129</v>
      </c>
      <c r="D171" s="8">
        <v>154</v>
      </c>
      <c r="E171" s="8">
        <v>194</v>
      </c>
      <c r="F171" s="8">
        <v>137</v>
      </c>
      <c r="G171" s="8">
        <v>174</v>
      </c>
      <c r="H171" s="8">
        <v>149</v>
      </c>
      <c r="I171" s="7">
        <f t="shared" si="4"/>
        <v>937</v>
      </c>
      <c r="K171" s="8" t="s">
        <v>1</v>
      </c>
      <c r="L171" s="7">
        <f>SUM(D170:D177)</f>
        <v>724</v>
      </c>
      <c r="N171" s="6"/>
      <c r="O171" s="7"/>
    </row>
    <row r="172" spans="1:15" ht="15">
      <c r="A172" s="8" t="s">
        <v>172</v>
      </c>
      <c r="B172" s="8"/>
      <c r="C172" s="8"/>
      <c r="D172" s="8"/>
      <c r="E172" s="8"/>
      <c r="F172" s="8"/>
      <c r="G172" s="8"/>
      <c r="H172" s="8"/>
      <c r="I172" s="7">
        <f t="shared" si="4"/>
        <v>0</v>
      </c>
      <c r="K172" s="8" t="s">
        <v>2</v>
      </c>
      <c r="L172" s="7">
        <f>SUM(E170:E177)</f>
        <v>827</v>
      </c>
      <c r="N172" s="6"/>
      <c r="O172" s="7"/>
    </row>
    <row r="173" spans="1:15" ht="15">
      <c r="A173" s="8" t="s">
        <v>172</v>
      </c>
      <c r="B173" s="8" t="s">
        <v>175</v>
      </c>
      <c r="C173" s="8">
        <v>163</v>
      </c>
      <c r="D173" s="8">
        <v>149</v>
      </c>
      <c r="E173" s="8">
        <v>172</v>
      </c>
      <c r="F173" s="8">
        <v>126</v>
      </c>
      <c r="G173" s="8">
        <v>125</v>
      </c>
      <c r="H173" s="8">
        <v>123</v>
      </c>
      <c r="I173" s="7">
        <f t="shared" si="4"/>
        <v>858</v>
      </c>
      <c r="K173" s="8" t="s">
        <v>4</v>
      </c>
      <c r="L173" s="7">
        <f>SUM(F170:F177)</f>
        <v>747</v>
      </c>
      <c r="N173" s="6"/>
      <c r="O173" s="7"/>
    </row>
    <row r="174" spans="1:15" ht="15">
      <c r="A174" s="8" t="s">
        <v>172</v>
      </c>
      <c r="B174" s="8" t="s">
        <v>176</v>
      </c>
      <c r="C174" s="8"/>
      <c r="D174" s="8"/>
      <c r="E174" s="8"/>
      <c r="F174" s="8"/>
      <c r="G174" s="8"/>
      <c r="H174" s="8"/>
      <c r="I174" s="7">
        <f t="shared" si="4"/>
        <v>0</v>
      </c>
      <c r="K174" s="8" t="s">
        <v>5</v>
      </c>
      <c r="L174" s="7">
        <f>SUM(G170:G177)</f>
        <v>655</v>
      </c>
      <c r="N174" s="6"/>
      <c r="O174" s="7"/>
    </row>
    <row r="175" spans="1:15" ht="15">
      <c r="A175" s="8" t="s">
        <v>172</v>
      </c>
      <c r="B175" s="8" t="s">
        <v>177</v>
      </c>
      <c r="C175" s="8">
        <v>145</v>
      </c>
      <c r="D175" s="8">
        <v>130</v>
      </c>
      <c r="E175" s="8">
        <v>140</v>
      </c>
      <c r="F175" s="8">
        <v>150</v>
      </c>
      <c r="G175" s="8">
        <v>103</v>
      </c>
      <c r="H175" s="8">
        <v>131</v>
      </c>
      <c r="I175" s="7">
        <f t="shared" si="4"/>
        <v>799</v>
      </c>
      <c r="K175" s="8" t="s">
        <v>6</v>
      </c>
      <c r="L175" s="7">
        <f>SUM(H170:H177)</f>
        <v>750</v>
      </c>
      <c r="N175" s="6"/>
      <c r="O175" s="7"/>
    </row>
    <row r="176" spans="1:15" ht="15">
      <c r="A176" s="8" t="s">
        <v>172</v>
      </c>
      <c r="B176" s="8"/>
      <c r="C176" s="8"/>
      <c r="D176" s="8"/>
      <c r="E176" s="8"/>
      <c r="F176" s="8"/>
      <c r="G176" s="8"/>
      <c r="H176" s="8"/>
      <c r="I176" s="7">
        <f t="shared" si="4"/>
        <v>0</v>
      </c>
      <c r="K176" s="8"/>
      <c r="L176" s="7"/>
      <c r="N176" s="6"/>
      <c r="O176" s="7"/>
    </row>
    <row r="177" spans="1:15" ht="15">
      <c r="A177" s="8" t="s">
        <v>172</v>
      </c>
      <c r="B177" s="8" t="s">
        <v>586</v>
      </c>
      <c r="C177" s="8">
        <v>145</v>
      </c>
      <c r="D177" s="8">
        <v>141</v>
      </c>
      <c r="E177" s="8">
        <v>162</v>
      </c>
      <c r="F177" s="8">
        <v>161</v>
      </c>
      <c r="G177" s="8">
        <v>125</v>
      </c>
      <c r="H177" s="8">
        <v>148</v>
      </c>
      <c r="I177" s="7">
        <f t="shared" si="4"/>
        <v>882</v>
      </c>
      <c r="K177" s="8"/>
      <c r="L177" s="7"/>
      <c r="N177" s="6"/>
      <c r="O177" s="7"/>
    </row>
    <row r="178" spans="1:15" ht="15">
      <c r="A178" s="4" t="s">
        <v>170</v>
      </c>
      <c r="B178" s="4" t="s">
        <v>179</v>
      </c>
      <c r="C178" s="4">
        <v>160</v>
      </c>
      <c r="D178" s="4">
        <v>148</v>
      </c>
      <c r="E178" s="4">
        <v>145</v>
      </c>
      <c r="F178" s="4">
        <v>121</v>
      </c>
      <c r="G178" s="4">
        <v>114</v>
      </c>
      <c r="H178" s="4">
        <v>118</v>
      </c>
      <c r="I178" s="5">
        <f t="shared" si="4"/>
        <v>806</v>
      </c>
      <c r="K178" s="4" t="s">
        <v>0</v>
      </c>
      <c r="L178" s="5">
        <f>SUM(C178:C185)</f>
        <v>838</v>
      </c>
      <c r="N178" s="9" t="str">
        <f>A178</f>
        <v>Purdue University-Junior Varsity Team #1</v>
      </c>
      <c r="O178" s="5">
        <f>SUM(L178:L183)</f>
        <v>5062</v>
      </c>
    </row>
    <row r="179" spans="1:15" ht="15">
      <c r="A179" s="4" t="s">
        <v>170</v>
      </c>
      <c r="B179" s="4" t="s">
        <v>180</v>
      </c>
      <c r="C179" s="4"/>
      <c r="D179" s="4"/>
      <c r="E179" s="4"/>
      <c r="F179" s="4"/>
      <c r="G179" s="4"/>
      <c r="H179" s="4"/>
      <c r="I179" s="5">
        <f t="shared" si="4"/>
        <v>0</v>
      </c>
      <c r="K179" s="4" t="s">
        <v>1</v>
      </c>
      <c r="L179" s="5">
        <f>SUM(D178:D185)</f>
        <v>779</v>
      </c>
      <c r="N179" s="9"/>
      <c r="O179" s="5"/>
    </row>
    <row r="180" spans="1:15" ht="15">
      <c r="A180" s="4" t="s">
        <v>170</v>
      </c>
      <c r="B180" s="4" t="s">
        <v>181</v>
      </c>
      <c r="C180" s="4"/>
      <c r="D180" s="4"/>
      <c r="E180" s="4"/>
      <c r="F180" s="4"/>
      <c r="G180" s="4"/>
      <c r="H180" s="4"/>
      <c r="I180" s="5">
        <f t="shared" si="4"/>
        <v>0</v>
      </c>
      <c r="K180" s="4" t="s">
        <v>2</v>
      </c>
      <c r="L180" s="5">
        <f>SUM(E178:E185)</f>
        <v>854</v>
      </c>
      <c r="N180" s="9"/>
      <c r="O180" s="5"/>
    </row>
    <row r="181" spans="1:15" ht="15">
      <c r="A181" s="4" t="s">
        <v>170</v>
      </c>
      <c r="B181" s="4" t="s">
        <v>182</v>
      </c>
      <c r="C181" s="4"/>
      <c r="D181" s="4"/>
      <c r="E181" s="4"/>
      <c r="F181" s="4"/>
      <c r="G181" s="4"/>
      <c r="H181" s="4"/>
      <c r="I181" s="5">
        <f t="shared" si="4"/>
        <v>0</v>
      </c>
      <c r="K181" s="4" t="s">
        <v>4</v>
      </c>
      <c r="L181" s="5">
        <f>SUM(F178:F185)</f>
        <v>858</v>
      </c>
      <c r="N181" s="9"/>
      <c r="O181" s="5"/>
    </row>
    <row r="182" spans="1:15" ht="15">
      <c r="A182" s="4" t="s">
        <v>170</v>
      </c>
      <c r="B182" s="4" t="s">
        <v>163</v>
      </c>
      <c r="C182" s="4">
        <v>155</v>
      </c>
      <c r="D182" s="4">
        <v>134</v>
      </c>
      <c r="E182" s="4">
        <v>192</v>
      </c>
      <c r="F182" s="4">
        <v>212</v>
      </c>
      <c r="G182" s="4">
        <v>182</v>
      </c>
      <c r="H182" s="4">
        <v>200</v>
      </c>
      <c r="I182" s="5">
        <f t="shared" si="4"/>
        <v>1075</v>
      </c>
      <c r="K182" s="4" t="s">
        <v>5</v>
      </c>
      <c r="L182" s="5">
        <f>SUM(G178:G185)</f>
        <v>818</v>
      </c>
      <c r="N182" s="9"/>
      <c r="O182" s="5"/>
    </row>
    <row r="183" spans="1:15" ht="15">
      <c r="A183" s="4" t="s">
        <v>170</v>
      </c>
      <c r="B183" s="4" t="s">
        <v>184</v>
      </c>
      <c r="C183" s="4">
        <v>200</v>
      </c>
      <c r="D183" s="4">
        <v>138</v>
      </c>
      <c r="E183" s="4">
        <v>130</v>
      </c>
      <c r="F183" s="4">
        <v>158</v>
      </c>
      <c r="G183" s="4">
        <v>182</v>
      </c>
      <c r="H183" s="4">
        <v>180</v>
      </c>
      <c r="I183" s="5">
        <f t="shared" si="4"/>
        <v>988</v>
      </c>
      <c r="K183" s="4" t="s">
        <v>6</v>
      </c>
      <c r="L183" s="5">
        <f>SUM(H178:H185)</f>
        <v>915</v>
      </c>
      <c r="N183" s="9"/>
      <c r="O183" s="5"/>
    </row>
    <row r="184" spans="1:15" ht="15">
      <c r="A184" s="4" t="s">
        <v>170</v>
      </c>
      <c r="B184" s="4" t="s">
        <v>174</v>
      </c>
      <c r="C184" s="4">
        <v>171</v>
      </c>
      <c r="D184" s="4">
        <v>173</v>
      </c>
      <c r="E184" s="4">
        <v>190</v>
      </c>
      <c r="F184" s="4">
        <v>182</v>
      </c>
      <c r="G184" s="4">
        <v>163</v>
      </c>
      <c r="H184" s="4">
        <v>193</v>
      </c>
      <c r="I184" s="5">
        <f t="shared" si="4"/>
        <v>1072</v>
      </c>
      <c r="K184" s="5"/>
      <c r="L184" s="5"/>
      <c r="N184" s="9"/>
      <c r="O184" s="5"/>
    </row>
    <row r="185" spans="1:15" ht="15">
      <c r="A185" s="4" t="s">
        <v>170</v>
      </c>
      <c r="B185" s="4" t="s">
        <v>178</v>
      </c>
      <c r="C185" s="4">
        <v>152</v>
      </c>
      <c r="D185" s="4">
        <v>186</v>
      </c>
      <c r="E185" s="4">
        <v>197</v>
      </c>
      <c r="F185" s="4">
        <v>185</v>
      </c>
      <c r="G185" s="4">
        <v>177</v>
      </c>
      <c r="H185" s="4">
        <v>224</v>
      </c>
      <c r="I185" s="5">
        <f t="shared" si="4"/>
        <v>1121</v>
      </c>
      <c r="K185" s="4"/>
      <c r="L185" s="5"/>
      <c r="N185" s="9"/>
      <c r="O185" s="5"/>
    </row>
    <row r="186" spans="1:15" ht="15">
      <c r="A186" s="8" t="s">
        <v>576</v>
      </c>
      <c r="B186" s="8" t="s">
        <v>186</v>
      </c>
      <c r="C186" s="8">
        <v>168</v>
      </c>
      <c r="D186" s="8">
        <v>215</v>
      </c>
      <c r="E186" s="8">
        <v>226</v>
      </c>
      <c r="F186" s="8">
        <v>186</v>
      </c>
      <c r="G186" s="8">
        <v>222</v>
      </c>
      <c r="H186" s="8">
        <v>203</v>
      </c>
      <c r="I186" s="7">
        <f t="shared" si="4"/>
        <v>1220</v>
      </c>
      <c r="K186" s="8" t="s">
        <v>0</v>
      </c>
      <c r="L186" s="7">
        <f>SUM(C186:C193)</f>
        <v>886</v>
      </c>
      <c r="N186" s="6" t="str">
        <f>A186</f>
        <v>Robert Morris University of Illinois-Eagles</v>
      </c>
      <c r="O186" s="7">
        <f>SUM(L186:L191)</f>
        <v>5533</v>
      </c>
    </row>
    <row r="187" spans="1:15" ht="15">
      <c r="A187" s="8" t="s">
        <v>576</v>
      </c>
      <c r="B187" s="8" t="s">
        <v>187</v>
      </c>
      <c r="C187" s="8">
        <v>171</v>
      </c>
      <c r="D187" s="8">
        <v>203</v>
      </c>
      <c r="E187" s="8">
        <v>183</v>
      </c>
      <c r="F187" s="8">
        <v>160</v>
      </c>
      <c r="G187" s="8">
        <v>201</v>
      </c>
      <c r="H187" s="8">
        <v>158</v>
      </c>
      <c r="I187" s="7">
        <f t="shared" si="4"/>
        <v>1076</v>
      </c>
      <c r="K187" s="8" t="s">
        <v>1</v>
      </c>
      <c r="L187" s="7">
        <f>SUM(D186:D193)</f>
        <v>964</v>
      </c>
      <c r="N187" s="6"/>
      <c r="O187" s="7"/>
    </row>
    <row r="188" spans="1:15" ht="15">
      <c r="A188" s="8" t="s">
        <v>576</v>
      </c>
      <c r="B188" s="8" t="s">
        <v>188</v>
      </c>
      <c r="C188" s="8">
        <v>179</v>
      </c>
      <c r="D188" s="8">
        <v>214</v>
      </c>
      <c r="E188" s="8">
        <v>200</v>
      </c>
      <c r="F188" s="8">
        <v>185</v>
      </c>
      <c r="G188" s="8">
        <v>189</v>
      </c>
      <c r="H188" s="8">
        <v>186</v>
      </c>
      <c r="I188" s="7">
        <f t="shared" si="4"/>
        <v>1153</v>
      </c>
      <c r="K188" s="8" t="s">
        <v>2</v>
      </c>
      <c r="L188" s="7">
        <f>SUM(E186:E193)</f>
        <v>1008</v>
      </c>
      <c r="N188" s="6"/>
      <c r="O188" s="7"/>
    </row>
    <row r="189" spans="1:15" ht="15">
      <c r="A189" s="8" t="s">
        <v>576</v>
      </c>
      <c r="B189" s="8" t="s">
        <v>189</v>
      </c>
      <c r="C189" s="8">
        <v>175</v>
      </c>
      <c r="D189" s="8">
        <v>137</v>
      </c>
      <c r="E189" s="8"/>
      <c r="F189" s="8"/>
      <c r="G189" s="8"/>
      <c r="H189" s="8"/>
      <c r="I189" s="7">
        <f t="shared" si="4"/>
        <v>312</v>
      </c>
      <c r="K189" s="8" t="s">
        <v>4</v>
      </c>
      <c r="L189" s="7">
        <f>SUM(F186:F193)</f>
        <v>869</v>
      </c>
      <c r="N189" s="6"/>
      <c r="O189" s="7"/>
    </row>
    <row r="190" spans="1:15" ht="15">
      <c r="A190" s="8" t="s">
        <v>576</v>
      </c>
      <c r="B190" s="8" t="s">
        <v>185</v>
      </c>
      <c r="C190" s="8">
        <v>193</v>
      </c>
      <c r="D190" s="8">
        <v>195</v>
      </c>
      <c r="E190" s="8">
        <v>188</v>
      </c>
      <c r="F190" s="8">
        <v>163</v>
      </c>
      <c r="G190" s="8">
        <v>183</v>
      </c>
      <c r="H190" s="8">
        <v>164</v>
      </c>
      <c r="I190" s="7">
        <f t="shared" si="4"/>
        <v>1086</v>
      </c>
      <c r="K190" s="8" t="s">
        <v>5</v>
      </c>
      <c r="L190" s="7">
        <f>SUM(G186:G193)</f>
        <v>939</v>
      </c>
      <c r="N190" s="6"/>
      <c r="O190" s="7"/>
    </row>
    <row r="191" spans="1:15" ht="15">
      <c r="A191" s="8" t="s">
        <v>576</v>
      </c>
      <c r="B191" s="8" t="s">
        <v>191</v>
      </c>
      <c r="C191" s="8"/>
      <c r="D191" s="8"/>
      <c r="E191" s="8">
        <v>211</v>
      </c>
      <c r="F191" s="8">
        <v>175</v>
      </c>
      <c r="G191" s="8"/>
      <c r="H191" s="8"/>
      <c r="I191" s="7">
        <f t="shared" si="4"/>
        <v>386</v>
      </c>
      <c r="K191" s="8" t="s">
        <v>6</v>
      </c>
      <c r="L191" s="7">
        <f>SUM(H186:H193)</f>
        <v>867</v>
      </c>
      <c r="N191" s="6"/>
      <c r="O191" s="7"/>
    </row>
    <row r="192" spans="1:15" ht="15">
      <c r="A192" s="8" t="s">
        <v>576</v>
      </c>
      <c r="B192" s="8" t="s">
        <v>194</v>
      </c>
      <c r="C192" s="8"/>
      <c r="D192" s="8"/>
      <c r="E192" s="8"/>
      <c r="F192" s="8"/>
      <c r="G192" s="8"/>
      <c r="H192" s="8">
        <v>156</v>
      </c>
      <c r="I192" s="7">
        <f t="shared" si="4"/>
        <v>156</v>
      </c>
      <c r="K192" s="8"/>
      <c r="L192" s="7"/>
      <c r="N192" s="6"/>
      <c r="O192" s="7"/>
    </row>
    <row r="193" spans="1:15" ht="15">
      <c r="A193" s="8" t="s">
        <v>576</v>
      </c>
      <c r="B193" s="8" t="s">
        <v>202</v>
      </c>
      <c r="C193" s="8"/>
      <c r="D193" s="8"/>
      <c r="E193" s="8"/>
      <c r="F193" s="8"/>
      <c r="G193" s="8">
        <v>144</v>
      </c>
      <c r="H193" s="8"/>
      <c r="I193" s="7">
        <f t="shared" si="4"/>
        <v>144</v>
      </c>
      <c r="K193" s="8"/>
      <c r="L193" s="7"/>
      <c r="N193" s="6"/>
      <c r="O193" s="7"/>
    </row>
    <row r="194" spans="1:15" ht="15">
      <c r="A194" s="4" t="s">
        <v>578</v>
      </c>
      <c r="B194" s="4" t="s">
        <v>196</v>
      </c>
      <c r="C194" s="4"/>
      <c r="D194" s="4">
        <v>147</v>
      </c>
      <c r="E194" s="4"/>
      <c r="F194" s="4">
        <v>174</v>
      </c>
      <c r="G194" s="4">
        <v>187</v>
      </c>
      <c r="H194" s="4">
        <v>121</v>
      </c>
      <c r="I194" s="5">
        <f t="shared" si="4"/>
        <v>629</v>
      </c>
      <c r="K194" s="4" t="s">
        <v>0</v>
      </c>
      <c r="L194" s="5">
        <f>SUM(C194:C201)</f>
        <v>827</v>
      </c>
      <c r="N194" s="9" t="str">
        <f>A194</f>
        <v>Robert Morris University of Illinois-Gold</v>
      </c>
      <c r="O194" s="5">
        <f>SUM(L194:L199)</f>
        <v>5126</v>
      </c>
    </row>
    <row r="195" spans="1:15" ht="15">
      <c r="A195" s="4" t="s">
        <v>578</v>
      </c>
      <c r="B195" s="4" t="s">
        <v>195</v>
      </c>
      <c r="C195" s="4">
        <v>152</v>
      </c>
      <c r="D195" s="4"/>
      <c r="E195" s="4">
        <v>163</v>
      </c>
      <c r="F195" s="4"/>
      <c r="G195" s="4">
        <v>178</v>
      </c>
      <c r="H195" s="4">
        <v>167</v>
      </c>
      <c r="I195" s="5">
        <f t="shared" si="4"/>
        <v>660</v>
      </c>
      <c r="K195" s="4" t="s">
        <v>1</v>
      </c>
      <c r="L195" s="5">
        <f>SUM(D194:D201)</f>
        <v>879</v>
      </c>
      <c r="N195" s="9"/>
      <c r="O195" s="5"/>
    </row>
    <row r="196" spans="1:15" ht="15">
      <c r="A196" s="4" t="s">
        <v>578</v>
      </c>
      <c r="B196" s="4" t="s">
        <v>197</v>
      </c>
      <c r="C196" s="4"/>
      <c r="D196" s="4">
        <v>170</v>
      </c>
      <c r="E196" s="4">
        <v>133</v>
      </c>
      <c r="F196" s="4"/>
      <c r="G196" s="4">
        <v>142</v>
      </c>
      <c r="H196" s="4"/>
      <c r="I196" s="5">
        <f t="shared" si="4"/>
        <v>445</v>
      </c>
      <c r="K196" s="4" t="s">
        <v>2</v>
      </c>
      <c r="L196" s="5">
        <f>SUM(E194:E201)</f>
        <v>886</v>
      </c>
      <c r="N196" s="9"/>
      <c r="O196" s="5"/>
    </row>
    <row r="197" spans="1:15" ht="15">
      <c r="A197" s="4" t="s">
        <v>578</v>
      </c>
      <c r="B197" s="4" t="s">
        <v>198</v>
      </c>
      <c r="C197" s="4">
        <v>172</v>
      </c>
      <c r="D197" s="4">
        <v>165</v>
      </c>
      <c r="E197" s="4"/>
      <c r="F197" s="4">
        <v>223</v>
      </c>
      <c r="G197" s="4">
        <v>199</v>
      </c>
      <c r="H197" s="4">
        <v>190</v>
      </c>
      <c r="I197" s="5">
        <f t="shared" si="4"/>
        <v>949</v>
      </c>
      <c r="K197" s="4" t="s">
        <v>4</v>
      </c>
      <c r="L197" s="5">
        <f>SUM(F194:F201)</f>
        <v>893</v>
      </c>
      <c r="N197" s="9"/>
      <c r="O197" s="5"/>
    </row>
    <row r="198" spans="1:15" ht="15">
      <c r="A198" s="4" t="s">
        <v>578</v>
      </c>
      <c r="B198" s="4" t="s">
        <v>199</v>
      </c>
      <c r="C198" s="4">
        <v>165</v>
      </c>
      <c r="D198" s="4"/>
      <c r="E198" s="4">
        <v>225</v>
      </c>
      <c r="F198" s="4">
        <v>213</v>
      </c>
      <c r="G198" s="4">
        <v>162</v>
      </c>
      <c r="H198" s="4"/>
      <c r="I198" s="5">
        <f t="shared" si="4"/>
        <v>765</v>
      </c>
      <c r="K198" s="4" t="s">
        <v>5</v>
      </c>
      <c r="L198" s="5">
        <f>SUM(G194:G201)</f>
        <v>868</v>
      </c>
      <c r="N198" s="9"/>
      <c r="O198" s="5"/>
    </row>
    <row r="199" spans="1:15" ht="15">
      <c r="A199" s="4" t="s">
        <v>578</v>
      </c>
      <c r="B199" s="4" t="s">
        <v>200</v>
      </c>
      <c r="C199" s="4">
        <v>176</v>
      </c>
      <c r="D199" s="4">
        <v>199</v>
      </c>
      <c r="E199" s="4">
        <v>177</v>
      </c>
      <c r="F199" s="4"/>
      <c r="G199" s="4"/>
      <c r="H199" s="4"/>
      <c r="I199" s="5">
        <f t="shared" si="4"/>
        <v>552</v>
      </c>
      <c r="K199" s="4" t="s">
        <v>6</v>
      </c>
      <c r="L199" s="5">
        <f>SUM(H194:H201)</f>
        <v>773</v>
      </c>
      <c r="N199" s="9"/>
      <c r="O199" s="5"/>
    </row>
    <row r="200" spans="1:15" ht="15">
      <c r="A200" s="4" t="s">
        <v>578</v>
      </c>
      <c r="B200" s="4" t="s">
        <v>201</v>
      </c>
      <c r="C200" s="4">
        <v>162</v>
      </c>
      <c r="D200" s="4"/>
      <c r="E200" s="4"/>
      <c r="F200" s="4">
        <v>123</v>
      </c>
      <c r="G200" s="4"/>
      <c r="H200" s="4">
        <v>121</v>
      </c>
      <c r="I200" s="5">
        <f t="shared" si="4"/>
        <v>406</v>
      </c>
      <c r="K200" s="5"/>
      <c r="L200" s="5"/>
      <c r="N200" s="9"/>
      <c r="O200" s="5"/>
    </row>
    <row r="201" spans="1:15" ht="15">
      <c r="A201" s="4" t="s">
        <v>578</v>
      </c>
      <c r="B201" s="4" t="s">
        <v>205</v>
      </c>
      <c r="C201" s="4"/>
      <c r="D201" s="4">
        <v>198</v>
      </c>
      <c r="E201" s="4">
        <v>188</v>
      </c>
      <c r="F201" s="4">
        <v>160</v>
      </c>
      <c r="G201" s="4"/>
      <c r="H201" s="4">
        <v>174</v>
      </c>
      <c r="I201" s="5">
        <f t="shared" si="4"/>
        <v>720</v>
      </c>
      <c r="K201" s="4"/>
      <c r="L201" s="5"/>
      <c r="N201" s="9"/>
      <c r="O201" s="5"/>
    </row>
    <row r="202" spans="1:15" ht="15">
      <c r="A202" s="8" t="s">
        <v>579</v>
      </c>
      <c r="B202" s="8" t="s">
        <v>190</v>
      </c>
      <c r="C202" s="8">
        <v>177</v>
      </c>
      <c r="D202" s="8">
        <v>219</v>
      </c>
      <c r="E202" s="8">
        <v>169</v>
      </c>
      <c r="F202" s="8">
        <v>151</v>
      </c>
      <c r="G202" s="8">
        <v>151</v>
      </c>
      <c r="H202" s="8">
        <v>180</v>
      </c>
      <c r="I202" s="7">
        <f t="shared" si="4"/>
        <v>1047</v>
      </c>
      <c r="K202" s="8" t="s">
        <v>0</v>
      </c>
      <c r="L202" s="7">
        <f>SUM(C202:C209)</f>
        <v>978</v>
      </c>
      <c r="N202" s="6" t="str">
        <f>A202</f>
        <v>Robert Morris University of Illinois-Maroon</v>
      </c>
      <c r="O202" s="7">
        <f>SUM(L202:L207)</f>
        <v>5364</v>
      </c>
    </row>
    <row r="203" spans="1:15" ht="15">
      <c r="A203" s="8" t="s">
        <v>579</v>
      </c>
      <c r="B203" s="8" t="s">
        <v>192</v>
      </c>
      <c r="C203" s="8">
        <v>204</v>
      </c>
      <c r="D203" s="8">
        <v>194</v>
      </c>
      <c r="E203" s="8">
        <v>216</v>
      </c>
      <c r="F203" s="8">
        <v>188</v>
      </c>
      <c r="G203" s="8">
        <v>171</v>
      </c>
      <c r="H203" s="8">
        <v>200</v>
      </c>
      <c r="I203" s="7">
        <f t="shared" si="4"/>
        <v>1173</v>
      </c>
      <c r="K203" s="8" t="s">
        <v>1</v>
      </c>
      <c r="L203" s="7">
        <f>SUM(D202:D209)</f>
        <v>977</v>
      </c>
      <c r="N203" s="6"/>
      <c r="O203" s="7"/>
    </row>
    <row r="204" spans="1:15" ht="15">
      <c r="A204" s="8" t="s">
        <v>579</v>
      </c>
      <c r="B204" s="8" t="s">
        <v>193</v>
      </c>
      <c r="C204" s="8">
        <v>214</v>
      </c>
      <c r="D204" s="8">
        <v>176</v>
      </c>
      <c r="E204" s="8">
        <v>194</v>
      </c>
      <c r="F204" s="8">
        <v>154</v>
      </c>
      <c r="G204" s="8">
        <v>175</v>
      </c>
      <c r="H204" s="8">
        <v>187</v>
      </c>
      <c r="I204" s="7">
        <f t="shared" si="4"/>
        <v>1100</v>
      </c>
      <c r="K204" s="8" t="s">
        <v>2</v>
      </c>
      <c r="L204" s="7">
        <f>SUM(E202:E209)</f>
        <v>856</v>
      </c>
      <c r="N204" s="6"/>
      <c r="O204" s="7"/>
    </row>
    <row r="205" spans="1:15" ht="15">
      <c r="A205" s="8" t="s">
        <v>579</v>
      </c>
      <c r="B205" s="8" t="s">
        <v>204</v>
      </c>
      <c r="C205" s="8">
        <v>174</v>
      </c>
      <c r="D205" s="8"/>
      <c r="E205" s="8"/>
      <c r="F205" s="8">
        <v>157</v>
      </c>
      <c r="G205" s="8"/>
      <c r="H205" s="8"/>
      <c r="I205" s="7">
        <f t="shared" si="4"/>
        <v>331</v>
      </c>
      <c r="K205" s="8" t="s">
        <v>4</v>
      </c>
      <c r="L205" s="7">
        <f>SUM(F202:F209)</f>
        <v>816</v>
      </c>
      <c r="N205" s="6"/>
      <c r="O205" s="7"/>
    </row>
    <row r="206" spans="1:15" ht="15">
      <c r="A206" s="8" t="s">
        <v>579</v>
      </c>
      <c r="B206" s="8" t="s">
        <v>206</v>
      </c>
      <c r="C206" s="8"/>
      <c r="D206" s="8"/>
      <c r="E206" s="8">
        <v>152</v>
      </c>
      <c r="F206" s="8"/>
      <c r="G206" s="8">
        <v>151</v>
      </c>
      <c r="H206" s="8"/>
      <c r="I206" s="7">
        <f t="shared" si="4"/>
        <v>303</v>
      </c>
      <c r="K206" s="8" t="s">
        <v>5</v>
      </c>
      <c r="L206" s="7">
        <f>SUM(G202:G209)</f>
        <v>843</v>
      </c>
      <c r="N206" s="6"/>
      <c r="O206" s="7"/>
    </row>
    <row r="207" spans="1:15" ht="15">
      <c r="A207" s="8" t="s">
        <v>579</v>
      </c>
      <c r="B207" s="8" t="s">
        <v>577</v>
      </c>
      <c r="C207" s="8"/>
      <c r="D207" s="8"/>
      <c r="E207" s="8"/>
      <c r="F207" s="8">
        <v>166</v>
      </c>
      <c r="G207" s="8">
        <v>195</v>
      </c>
      <c r="H207" s="8">
        <v>164</v>
      </c>
      <c r="I207" s="7">
        <f t="shared" si="4"/>
        <v>525</v>
      </c>
      <c r="K207" s="8" t="s">
        <v>6</v>
      </c>
      <c r="L207" s="7">
        <f>SUM(H202:H209)</f>
        <v>894</v>
      </c>
      <c r="N207" s="6"/>
      <c r="O207" s="7"/>
    </row>
    <row r="208" spans="1:15" ht="15">
      <c r="A208" s="8" t="s">
        <v>579</v>
      </c>
      <c r="B208" s="8" t="s">
        <v>203</v>
      </c>
      <c r="C208" s="8">
        <v>209</v>
      </c>
      <c r="D208" s="8">
        <v>215</v>
      </c>
      <c r="E208" s="8">
        <v>125</v>
      </c>
      <c r="F208" s="8"/>
      <c r="G208" s="8"/>
      <c r="H208" s="8"/>
      <c r="I208" s="7">
        <f t="shared" si="4"/>
        <v>549</v>
      </c>
      <c r="K208" s="8"/>
      <c r="L208" s="7"/>
      <c r="N208" s="6"/>
      <c r="O208" s="7"/>
    </row>
    <row r="209" spans="1:15" ht="15">
      <c r="A209" s="8" t="s">
        <v>579</v>
      </c>
      <c r="B209" s="8" t="s">
        <v>607</v>
      </c>
      <c r="C209" s="8"/>
      <c r="D209" s="8">
        <v>173</v>
      </c>
      <c r="E209" s="8"/>
      <c r="F209" s="8"/>
      <c r="G209" s="8"/>
      <c r="H209" s="8">
        <v>163</v>
      </c>
      <c r="I209" s="7">
        <f t="shared" si="4"/>
        <v>336</v>
      </c>
      <c r="K209" s="8"/>
      <c r="L209" s="7"/>
      <c r="N209" s="6"/>
      <c r="O209" s="7"/>
    </row>
    <row r="210" spans="1:15" ht="15">
      <c r="A210" s="4" t="s">
        <v>207</v>
      </c>
      <c r="B210" s="4" t="s">
        <v>208</v>
      </c>
      <c r="C210" s="4">
        <v>163</v>
      </c>
      <c r="D210" s="4">
        <v>177</v>
      </c>
      <c r="E210" s="4">
        <v>140</v>
      </c>
      <c r="F210" s="4">
        <v>167</v>
      </c>
      <c r="G210" s="4">
        <v>122</v>
      </c>
      <c r="H210" s="4">
        <v>115</v>
      </c>
      <c r="I210" s="5">
        <f t="shared" si="4"/>
        <v>884</v>
      </c>
      <c r="K210" s="4" t="s">
        <v>0</v>
      </c>
      <c r="L210" s="5">
        <f>SUM(C210:C217)</f>
        <v>724</v>
      </c>
      <c r="N210" s="9" t="str">
        <f>A210</f>
        <v>Robert Morris Unof Illinois-Lake County-Varsity</v>
      </c>
      <c r="O210" s="5">
        <f>SUM(L210:L215)</f>
        <v>3711</v>
      </c>
    </row>
    <row r="211" spans="1:15" ht="15">
      <c r="A211" s="4" t="s">
        <v>207</v>
      </c>
      <c r="B211" s="4" t="s">
        <v>209</v>
      </c>
      <c r="C211" s="4">
        <v>199</v>
      </c>
      <c r="D211" s="4">
        <v>151</v>
      </c>
      <c r="E211" s="4">
        <v>193</v>
      </c>
      <c r="F211" s="4">
        <v>151</v>
      </c>
      <c r="G211" s="4">
        <v>166</v>
      </c>
      <c r="H211" s="4">
        <v>146</v>
      </c>
      <c r="I211" s="5">
        <f t="shared" si="4"/>
        <v>1006</v>
      </c>
      <c r="K211" s="4" t="s">
        <v>1</v>
      </c>
      <c r="L211" s="5">
        <f>SUM(D210:D217)</f>
        <v>634</v>
      </c>
      <c r="N211" s="9"/>
      <c r="O211" s="5"/>
    </row>
    <row r="212" spans="1:15" ht="15">
      <c r="A212" s="4" t="s">
        <v>207</v>
      </c>
      <c r="B212" s="4" t="s">
        <v>210</v>
      </c>
      <c r="C212" s="4">
        <v>75</v>
      </c>
      <c r="D212" s="4">
        <v>110</v>
      </c>
      <c r="E212" s="4">
        <v>92</v>
      </c>
      <c r="F212" s="4">
        <v>88</v>
      </c>
      <c r="G212" s="4">
        <v>114</v>
      </c>
      <c r="H212" s="4">
        <v>123</v>
      </c>
      <c r="I212" s="5">
        <f t="shared" si="4"/>
        <v>602</v>
      </c>
      <c r="K212" s="4" t="s">
        <v>2</v>
      </c>
      <c r="L212" s="5">
        <f>SUM(E210:E217)</f>
        <v>616</v>
      </c>
      <c r="N212" s="9"/>
      <c r="O212" s="5"/>
    </row>
    <row r="213" spans="1:15" ht="15">
      <c r="A213" s="4" t="s">
        <v>207</v>
      </c>
      <c r="B213" s="4" t="s">
        <v>211</v>
      </c>
      <c r="C213" s="4">
        <v>87</v>
      </c>
      <c r="D213" s="4">
        <v>82</v>
      </c>
      <c r="E213" s="4">
        <v>89</v>
      </c>
      <c r="F213" s="4">
        <v>81</v>
      </c>
      <c r="G213" s="4">
        <v>103</v>
      </c>
      <c r="H213" s="4">
        <v>95</v>
      </c>
      <c r="I213" s="5">
        <f t="shared" si="4"/>
        <v>537</v>
      </c>
      <c r="K213" s="4" t="s">
        <v>4</v>
      </c>
      <c r="L213" s="5">
        <f>SUM(F210:F217)</f>
        <v>626</v>
      </c>
      <c r="N213" s="9"/>
      <c r="O213" s="5"/>
    </row>
    <row r="214" spans="1:15" ht="15">
      <c r="A214" s="4" t="s">
        <v>207</v>
      </c>
      <c r="B214" s="4" t="s">
        <v>212</v>
      </c>
      <c r="C214" s="4">
        <v>200</v>
      </c>
      <c r="D214" s="4">
        <v>114</v>
      </c>
      <c r="E214" s="4">
        <v>102</v>
      </c>
      <c r="F214" s="4">
        <v>139</v>
      </c>
      <c r="G214" s="4">
        <v>57</v>
      </c>
      <c r="H214" s="4">
        <v>70</v>
      </c>
      <c r="I214" s="5">
        <f t="shared" si="4"/>
        <v>682</v>
      </c>
      <c r="K214" s="4" t="s">
        <v>5</v>
      </c>
      <c r="L214" s="5">
        <f>SUM(G210:G217)</f>
        <v>562</v>
      </c>
      <c r="N214" s="9"/>
      <c r="O214" s="5"/>
    </row>
    <row r="215" spans="1:15" ht="15">
      <c r="A215" s="9"/>
      <c r="B215" s="4"/>
      <c r="C215" s="4"/>
      <c r="D215" s="4"/>
      <c r="E215" s="4"/>
      <c r="F215" s="4"/>
      <c r="G215" s="4"/>
      <c r="H215" s="4"/>
      <c r="I215" s="5">
        <f t="shared" si="4"/>
        <v>0</v>
      </c>
      <c r="K215" s="4" t="s">
        <v>6</v>
      </c>
      <c r="L215" s="5">
        <f>SUM(H210:H217)</f>
        <v>549</v>
      </c>
      <c r="N215" s="9"/>
      <c r="O215" s="5"/>
    </row>
    <row r="216" spans="1:15" ht="15">
      <c r="A216" s="9"/>
      <c r="B216" s="4"/>
      <c r="C216" s="4"/>
      <c r="D216" s="4"/>
      <c r="E216" s="4"/>
      <c r="F216" s="4"/>
      <c r="G216" s="4"/>
      <c r="H216" s="4"/>
      <c r="I216" s="5">
        <f t="shared" si="4"/>
        <v>0</v>
      </c>
      <c r="K216" s="5"/>
      <c r="L216" s="5"/>
      <c r="N216" s="9"/>
      <c r="O216" s="5"/>
    </row>
    <row r="217" spans="1:15" ht="15">
      <c r="A217" s="9"/>
      <c r="B217" s="4"/>
      <c r="C217" s="4"/>
      <c r="D217" s="4"/>
      <c r="E217" s="4"/>
      <c r="F217" s="4"/>
      <c r="G217" s="4"/>
      <c r="H217" s="4"/>
      <c r="I217" s="5">
        <f t="shared" si="4"/>
        <v>0</v>
      </c>
      <c r="K217" s="4"/>
      <c r="L217" s="5"/>
      <c r="N217" s="9"/>
      <c r="O217" s="5"/>
    </row>
    <row r="218" spans="1:15" ht="15">
      <c r="A218" s="8" t="s">
        <v>612</v>
      </c>
      <c r="B218" s="8" t="s">
        <v>213</v>
      </c>
      <c r="C218" s="8">
        <v>141</v>
      </c>
      <c r="D218" s="8">
        <v>182</v>
      </c>
      <c r="E218" s="8">
        <v>173</v>
      </c>
      <c r="F218" s="8">
        <v>146</v>
      </c>
      <c r="G218" s="8">
        <v>166</v>
      </c>
      <c r="H218" s="8"/>
      <c r="I218" s="7">
        <f aca="true" t="shared" si="5" ref="I218:I281">SUM(C218:H218)</f>
        <v>808</v>
      </c>
      <c r="K218" s="8" t="s">
        <v>0</v>
      </c>
      <c r="L218" s="7">
        <f>SUM(C218:C225)</f>
        <v>744</v>
      </c>
      <c r="N218" s="6" t="str">
        <f>A218</f>
        <v>Southern Illinois University - EdwardsvilleVarsity</v>
      </c>
      <c r="O218" s="7">
        <f>SUM(L218:L223)</f>
        <v>4572</v>
      </c>
    </row>
    <row r="219" spans="1:15" ht="15">
      <c r="A219" s="8" t="s">
        <v>612</v>
      </c>
      <c r="B219" s="8" t="s">
        <v>214</v>
      </c>
      <c r="C219" s="8">
        <v>181</v>
      </c>
      <c r="D219" s="8">
        <v>181</v>
      </c>
      <c r="E219" s="8">
        <v>142</v>
      </c>
      <c r="F219" s="8"/>
      <c r="G219" s="8">
        <v>148</v>
      </c>
      <c r="H219" s="8">
        <v>110</v>
      </c>
      <c r="I219" s="7">
        <f t="shared" si="5"/>
        <v>762</v>
      </c>
      <c r="K219" s="8" t="s">
        <v>1</v>
      </c>
      <c r="L219" s="7">
        <f>SUM(D218:D225)</f>
        <v>857</v>
      </c>
      <c r="N219" s="6"/>
      <c r="O219" s="7"/>
    </row>
    <row r="220" spans="1:15" ht="15">
      <c r="A220" s="8" t="s">
        <v>612</v>
      </c>
      <c r="B220" s="8" t="s">
        <v>215</v>
      </c>
      <c r="C220" s="8"/>
      <c r="D220" s="8"/>
      <c r="E220" s="8"/>
      <c r="F220" s="8"/>
      <c r="G220" s="8"/>
      <c r="H220" s="8"/>
      <c r="I220" s="7">
        <f t="shared" si="5"/>
        <v>0</v>
      </c>
      <c r="K220" s="8" t="s">
        <v>2</v>
      </c>
      <c r="L220" s="7">
        <f>SUM(E218:E225)</f>
        <v>791</v>
      </c>
      <c r="N220" s="6"/>
      <c r="O220" s="7"/>
    </row>
    <row r="221" spans="1:15" ht="15">
      <c r="A221" s="8" t="s">
        <v>612</v>
      </c>
      <c r="B221" s="8" t="s">
        <v>216</v>
      </c>
      <c r="C221" s="8">
        <v>148</v>
      </c>
      <c r="D221" s="8"/>
      <c r="E221" s="8">
        <v>150</v>
      </c>
      <c r="F221" s="8">
        <v>188</v>
      </c>
      <c r="G221" s="8"/>
      <c r="H221" s="8">
        <v>154</v>
      </c>
      <c r="I221" s="7">
        <f t="shared" si="5"/>
        <v>640</v>
      </c>
      <c r="K221" s="8" t="s">
        <v>4</v>
      </c>
      <c r="L221" s="7">
        <f>SUM(F218:F225)</f>
        <v>722</v>
      </c>
      <c r="N221" s="6"/>
      <c r="O221" s="7"/>
    </row>
    <row r="222" spans="1:15" ht="15">
      <c r="A222" s="8" t="s">
        <v>612</v>
      </c>
      <c r="B222" s="8" t="s">
        <v>217</v>
      </c>
      <c r="C222" s="8">
        <v>143</v>
      </c>
      <c r="D222" s="8"/>
      <c r="E222" s="8"/>
      <c r="F222" s="8">
        <v>128</v>
      </c>
      <c r="G222" s="8">
        <v>107</v>
      </c>
      <c r="H222" s="8">
        <v>163</v>
      </c>
      <c r="I222" s="7">
        <f t="shared" si="5"/>
        <v>541</v>
      </c>
      <c r="K222" s="8" t="s">
        <v>5</v>
      </c>
      <c r="L222" s="7">
        <f>SUM(G218:G225)</f>
        <v>698</v>
      </c>
      <c r="N222" s="6"/>
      <c r="O222" s="7"/>
    </row>
    <row r="223" spans="1:15" ht="15">
      <c r="A223" s="8" t="s">
        <v>612</v>
      </c>
      <c r="B223" s="8" t="s">
        <v>218</v>
      </c>
      <c r="C223" s="8">
        <v>131</v>
      </c>
      <c r="D223" s="8">
        <v>177</v>
      </c>
      <c r="E223" s="8">
        <v>192</v>
      </c>
      <c r="F223" s="8">
        <v>137</v>
      </c>
      <c r="G223" s="8">
        <v>163</v>
      </c>
      <c r="H223" s="8"/>
      <c r="I223" s="7">
        <f t="shared" si="5"/>
        <v>800</v>
      </c>
      <c r="K223" s="8" t="s">
        <v>6</v>
      </c>
      <c r="L223" s="7">
        <f>SUM(H218:H225)</f>
        <v>760</v>
      </c>
      <c r="N223" s="6"/>
      <c r="O223" s="7"/>
    </row>
    <row r="224" spans="1:15" ht="15">
      <c r="A224" s="8" t="s">
        <v>612</v>
      </c>
      <c r="B224" s="8" t="s">
        <v>219</v>
      </c>
      <c r="C224" s="8"/>
      <c r="D224" s="8">
        <v>172</v>
      </c>
      <c r="E224" s="8">
        <v>134</v>
      </c>
      <c r="F224" s="8"/>
      <c r="G224" s="8">
        <v>114</v>
      </c>
      <c r="H224" s="8">
        <v>151</v>
      </c>
      <c r="I224" s="7">
        <f t="shared" si="5"/>
        <v>571</v>
      </c>
      <c r="K224" s="8"/>
      <c r="L224" s="7"/>
      <c r="N224" s="6"/>
      <c r="O224" s="7"/>
    </row>
    <row r="225" spans="1:15" ht="15">
      <c r="A225" s="8" t="s">
        <v>612</v>
      </c>
      <c r="B225" s="8" t="s">
        <v>220</v>
      </c>
      <c r="C225" s="8"/>
      <c r="D225" s="8">
        <v>145</v>
      </c>
      <c r="E225" s="8"/>
      <c r="F225" s="8">
        <v>123</v>
      </c>
      <c r="G225" s="8"/>
      <c r="H225" s="8">
        <v>182</v>
      </c>
      <c r="I225" s="7">
        <f t="shared" si="5"/>
        <v>450</v>
      </c>
      <c r="K225" s="8"/>
      <c r="L225" s="7"/>
      <c r="N225" s="6"/>
      <c r="O225" s="7"/>
    </row>
    <row r="226" spans="1:15" ht="15">
      <c r="A226" s="4" t="s">
        <v>221</v>
      </c>
      <c r="B226" s="4" t="s">
        <v>222</v>
      </c>
      <c r="C226" s="4"/>
      <c r="D226" s="4"/>
      <c r="E226" s="4">
        <v>181</v>
      </c>
      <c r="F226" s="4"/>
      <c r="G226" s="4"/>
      <c r="H226" s="4"/>
      <c r="I226" s="5">
        <f t="shared" si="5"/>
        <v>181</v>
      </c>
      <c r="K226" s="4" t="s">
        <v>0</v>
      </c>
      <c r="L226" s="5">
        <f>SUM(C226:C233)</f>
        <v>960</v>
      </c>
      <c r="N226" s="9" t="str">
        <f>A226</f>
        <v>St Ambrose University-Varsity</v>
      </c>
      <c r="O226" s="5">
        <f>SUM(L226:L231)</f>
        <v>5866</v>
      </c>
    </row>
    <row r="227" spans="1:15" ht="15">
      <c r="A227" s="4" t="s">
        <v>221</v>
      </c>
      <c r="B227" s="4" t="s">
        <v>223</v>
      </c>
      <c r="C227" s="4">
        <v>248</v>
      </c>
      <c r="D227" s="4">
        <v>201</v>
      </c>
      <c r="E227" s="4">
        <v>161</v>
      </c>
      <c r="F227" s="4">
        <v>218</v>
      </c>
      <c r="G227" s="4">
        <v>191</v>
      </c>
      <c r="H227" s="4">
        <v>187</v>
      </c>
      <c r="I227" s="5">
        <f t="shared" si="5"/>
        <v>1206</v>
      </c>
      <c r="K227" s="4" t="s">
        <v>1</v>
      </c>
      <c r="L227" s="5">
        <f>SUM(D226:D233)</f>
        <v>963</v>
      </c>
      <c r="N227" s="9"/>
      <c r="O227" s="5"/>
    </row>
    <row r="228" spans="1:15" ht="15">
      <c r="A228" s="4" t="s">
        <v>221</v>
      </c>
      <c r="B228" s="4" t="s">
        <v>224</v>
      </c>
      <c r="C228" s="4">
        <v>176</v>
      </c>
      <c r="D228" s="4">
        <v>185</v>
      </c>
      <c r="E228" s="4">
        <v>259</v>
      </c>
      <c r="F228" s="4">
        <v>246</v>
      </c>
      <c r="G228" s="4">
        <v>146</v>
      </c>
      <c r="H228" s="4">
        <v>160</v>
      </c>
      <c r="I228" s="5">
        <f t="shared" si="5"/>
        <v>1172</v>
      </c>
      <c r="K228" s="4" t="s">
        <v>2</v>
      </c>
      <c r="L228" s="5">
        <f>SUM(E226:E233)</f>
        <v>996</v>
      </c>
      <c r="N228" s="9"/>
      <c r="O228" s="5"/>
    </row>
    <row r="229" spans="1:15" ht="15">
      <c r="A229" s="4" t="s">
        <v>221</v>
      </c>
      <c r="B229" s="4" t="s">
        <v>225</v>
      </c>
      <c r="C229" s="4"/>
      <c r="D229" s="4">
        <v>189</v>
      </c>
      <c r="E229" s="4"/>
      <c r="F229" s="4"/>
      <c r="G229" s="4"/>
      <c r="H229" s="4"/>
      <c r="I229" s="5">
        <f t="shared" si="5"/>
        <v>189</v>
      </c>
      <c r="K229" s="4" t="s">
        <v>4</v>
      </c>
      <c r="L229" s="5">
        <f>SUM(F226:F233)</f>
        <v>989</v>
      </c>
      <c r="N229" s="9"/>
      <c r="O229" s="5"/>
    </row>
    <row r="230" spans="1:15" ht="15">
      <c r="A230" s="4" t="s">
        <v>221</v>
      </c>
      <c r="B230" s="4" t="s">
        <v>226</v>
      </c>
      <c r="C230" s="4">
        <v>141</v>
      </c>
      <c r="D230" s="4"/>
      <c r="E230" s="4"/>
      <c r="F230" s="4"/>
      <c r="G230" s="4">
        <v>174</v>
      </c>
      <c r="H230" s="4">
        <v>207</v>
      </c>
      <c r="I230" s="5">
        <f t="shared" si="5"/>
        <v>522</v>
      </c>
      <c r="K230" s="4" t="s">
        <v>5</v>
      </c>
      <c r="L230" s="5">
        <f>SUM(G226:G233)</f>
        <v>927</v>
      </c>
      <c r="N230" s="9"/>
      <c r="O230" s="5"/>
    </row>
    <row r="231" spans="1:15" ht="15">
      <c r="A231" s="4" t="s">
        <v>221</v>
      </c>
      <c r="B231" s="4" t="s">
        <v>227</v>
      </c>
      <c r="C231" s="4"/>
      <c r="D231" s="4"/>
      <c r="E231" s="4"/>
      <c r="F231" s="4">
        <v>200</v>
      </c>
      <c r="G231" s="4">
        <v>224</v>
      </c>
      <c r="H231" s="4">
        <v>209</v>
      </c>
      <c r="I231" s="5">
        <f t="shared" si="5"/>
        <v>633</v>
      </c>
      <c r="K231" s="4" t="s">
        <v>6</v>
      </c>
      <c r="L231" s="5">
        <f>SUM(H226:H233)</f>
        <v>1031</v>
      </c>
      <c r="N231" s="9"/>
      <c r="O231" s="5"/>
    </row>
    <row r="232" spans="1:15" ht="15">
      <c r="A232" s="4" t="s">
        <v>221</v>
      </c>
      <c r="B232" s="4" t="s">
        <v>228</v>
      </c>
      <c r="C232" s="4">
        <v>192</v>
      </c>
      <c r="D232" s="4">
        <v>235</v>
      </c>
      <c r="E232" s="4">
        <v>181</v>
      </c>
      <c r="F232" s="4">
        <v>170</v>
      </c>
      <c r="G232" s="4">
        <v>192</v>
      </c>
      <c r="H232" s="4">
        <v>268</v>
      </c>
      <c r="I232" s="5">
        <f t="shared" si="5"/>
        <v>1238</v>
      </c>
      <c r="K232" s="5"/>
      <c r="L232" s="5"/>
      <c r="N232" s="9"/>
      <c r="O232" s="5"/>
    </row>
    <row r="233" spans="1:15" ht="15">
      <c r="A233" s="4" t="s">
        <v>221</v>
      </c>
      <c r="B233" s="4" t="s">
        <v>229</v>
      </c>
      <c r="C233" s="4">
        <v>203</v>
      </c>
      <c r="D233" s="4">
        <v>153</v>
      </c>
      <c r="E233" s="4">
        <v>214</v>
      </c>
      <c r="F233" s="4">
        <v>155</v>
      </c>
      <c r="G233" s="4"/>
      <c r="H233" s="4"/>
      <c r="I233" s="5">
        <f t="shared" si="5"/>
        <v>725</v>
      </c>
      <c r="K233" s="4"/>
      <c r="L233" s="5"/>
      <c r="N233" s="9"/>
      <c r="O233" s="5"/>
    </row>
    <row r="234" spans="1:15" ht="15">
      <c r="A234" s="8" t="s">
        <v>230</v>
      </c>
      <c r="B234" s="8" t="s">
        <v>231</v>
      </c>
      <c r="C234" s="8">
        <v>200</v>
      </c>
      <c r="D234" s="8">
        <v>184</v>
      </c>
      <c r="E234" s="8">
        <v>206</v>
      </c>
      <c r="F234" s="8">
        <v>161</v>
      </c>
      <c r="G234" s="8">
        <v>182</v>
      </c>
      <c r="H234" s="8">
        <v>164</v>
      </c>
      <c r="I234" s="7">
        <f t="shared" si="5"/>
        <v>1097</v>
      </c>
      <c r="K234" s="8" t="s">
        <v>0</v>
      </c>
      <c r="L234" s="7">
        <f>SUM(C234:C241)</f>
        <v>860</v>
      </c>
      <c r="N234" s="6" t="str">
        <f>A234</f>
        <v>The Ohio State University-Varsity</v>
      </c>
      <c r="O234" s="7">
        <f>SUM(L234:L239)</f>
        <v>5624</v>
      </c>
    </row>
    <row r="235" spans="1:15" ht="15">
      <c r="A235" s="8" t="s">
        <v>230</v>
      </c>
      <c r="B235" s="8" t="s">
        <v>232</v>
      </c>
      <c r="C235" s="8">
        <v>196</v>
      </c>
      <c r="D235" s="8">
        <v>167</v>
      </c>
      <c r="E235" s="8">
        <v>241</v>
      </c>
      <c r="F235" s="8">
        <v>255</v>
      </c>
      <c r="G235" s="8">
        <v>219</v>
      </c>
      <c r="H235" s="8">
        <v>231</v>
      </c>
      <c r="I235" s="7">
        <f t="shared" si="5"/>
        <v>1309</v>
      </c>
      <c r="K235" s="8" t="s">
        <v>1</v>
      </c>
      <c r="L235" s="7">
        <f>SUM(D234:D241)</f>
        <v>920</v>
      </c>
      <c r="N235" s="6"/>
      <c r="O235" s="7"/>
    </row>
    <row r="236" spans="1:15" ht="15">
      <c r="A236" s="8" t="s">
        <v>230</v>
      </c>
      <c r="B236" s="8" t="s">
        <v>233</v>
      </c>
      <c r="C236" s="8"/>
      <c r="D236" s="8">
        <v>201</v>
      </c>
      <c r="E236" s="8">
        <v>185</v>
      </c>
      <c r="F236" s="8">
        <v>212</v>
      </c>
      <c r="G236" s="8">
        <v>185</v>
      </c>
      <c r="H236" s="8">
        <v>216</v>
      </c>
      <c r="I236" s="7">
        <f t="shared" si="5"/>
        <v>999</v>
      </c>
      <c r="K236" s="8" t="s">
        <v>2</v>
      </c>
      <c r="L236" s="7">
        <f>SUM(E234:E241)</f>
        <v>950</v>
      </c>
      <c r="N236" s="6"/>
      <c r="O236" s="7"/>
    </row>
    <row r="237" spans="1:15" ht="15">
      <c r="A237" s="8" t="s">
        <v>230</v>
      </c>
      <c r="B237" s="8" t="s">
        <v>234</v>
      </c>
      <c r="C237" s="8">
        <v>119</v>
      </c>
      <c r="D237" s="8"/>
      <c r="E237" s="8"/>
      <c r="F237" s="8"/>
      <c r="G237" s="8"/>
      <c r="H237" s="8"/>
      <c r="I237" s="7">
        <f t="shared" si="5"/>
        <v>119</v>
      </c>
      <c r="K237" s="8" t="s">
        <v>4</v>
      </c>
      <c r="L237" s="7">
        <f>SUM(F234:F241)</f>
        <v>1015</v>
      </c>
      <c r="N237" s="6"/>
      <c r="O237" s="7"/>
    </row>
    <row r="238" spans="1:15" ht="15">
      <c r="A238" s="8" t="s">
        <v>230</v>
      </c>
      <c r="B238" s="8" t="s">
        <v>235</v>
      </c>
      <c r="C238" s="8">
        <v>177</v>
      </c>
      <c r="D238" s="8">
        <v>157</v>
      </c>
      <c r="E238" s="8">
        <v>189</v>
      </c>
      <c r="F238" s="8">
        <v>211</v>
      </c>
      <c r="G238" s="8">
        <v>169</v>
      </c>
      <c r="H238" s="8">
        <v>206</v>
      </c>
      <c r="I238" s="7">
        <f t="shared" si="5"/>
        <v>1109</v>
      </c>
      <c r="K238" s="8" t="s">
        <v>5</v>
      </c>
      <c r="L238" s="7">
        <f>SUM(G234:G241)</f>
        <v>922</v>
      </c>
      <c r="N238" s="6"/>
      <c r="O238" s="7"/>
    </row>
    <row r="239" spans="1:15" ht="15">
      <c r="A239" s="8" t="s">
        <v>230</v>
      </c>
      <c r="B239" s="8" t="s">
        <v>236</v>
      </c>
      <c r="C239" s="8"/>
      <c r="D239" s="8"/>
      <c r="E239" s="8"/>
      <c r="F239" s="8">
        <v>176</v>
      </c>
      <c r="G239" s="8">
        <v>167</v>
      </c>
      <c r="H239" s="8">
        <v>140</v>
      </c>
      <c r="I239" s="7">
        <f t="shared" si="5"/>
        <v>483</v>
      </c>
      <c r="K239" s="8" t="s">
        <v>6</v>
      </c>
      <c r="L239" s="7">
        <f>SUM(H234:H241)</f>
        <v>957</v>
      </c>
      <c r="N239" s="6"/>
      <c r="O239" s="7"/>
    </row>
    <row r="240" spans="1:15" ht="15">
      <c r="A240" s="8" t="s">
        <v>230</v>
      </c>
      <c r="B240" s="8" t="s">
        <v>237</v>
      </c>
      <c r="C240" s="8">
        <v>168</v>
      </c>
      <c r="D240" s="8">
        <v>211</v>
      </c>
      <c r="E240" s="8">
        <v>129</v>
      </c>
      <c r="F240" s="8"/>
      <c r="G240" s="8"/>
      <c r="H240" s="8"/>
      <c r="I240" s="7">
        <f t="shared" si="5"/>
        <v>508</v>
      </c>
      <c r="K240" s="8"/>
      <c r="L240" s="7"/>
      <c r="N240" s="6"/>
      <c r="O240" s="7"/>
    </row>
    <row r="241" spans="1:15" ht="15">
      <c r="A241" s="8"/>
      <c r="B241" s="8"/>
      <c r="C241" s="8"/>
      <c r="D241" s="8"/>
      <c r="E241" s="8"/>
      <c r="F241" s="8"/>
      <c r="G241" s="8"/>
      <c r="H241" s="8"/>
      <c r="I241" s="7">
        <f t="shared" si="5"/>
        <v>0</v>
      </c>
      <c r="K241" s="8"/>
      <c r="L241" s="7"/>
      <c r="N241" s="6"/>
      <c r="O241" s="7"/>
    </row>
    <row r="242" spans="1:15" ht="15">
      <c r="A242" s="4" t="s">
        <v>238</v>
      </c>
      <c r="B242" s="4" t="s">
        <v>239</v>
      </c>
      <c r="C242" s="4">
        <v>171</v>
      </c>
      <c r="D242" s="4">
        <v>170</v>
      </c>
      <c r="E242" s="4">
        <v>215</v>
      </c>
      <c r="F242" s="4">
        <v>223</v>
      </c>
      <c r="G242" s="4">
        <v>215</v>
      </c>
      <c r="H242" s="4">
        <v>193</v>
      </c>
      <c r="I242" s="5">
        <f t="shared" si="5"/>
        <v>1187</v>
      </c>
      <c r="K242" s="4" t="s">
        <v>0</v>
      </c>
      <c r="L242" s="5">
        <f>SUM(C242:C249)</f>
        <v>923</v>
      </c>
      <c r="N242" s="9" t="str">
        <f>A242</f>
        <v>The Ohio State University-Junior Varsity</v>
      </c>
      <c r="O242" s="5">
        <f>SUM(L242:L247)</f>
        <v>5103</v>
      </c>
    </row>
    <row r="243" spans="1:15" ht="15">
      <c r="A243" s="4" t="s">
        <v>238</v>
      </c>
      <c r="B243" s="4" t="s">
        <v>240</v>
      </c>
      <c r="C243" s="4">
        <v>213</v>
      </c>
      <c r="D243" s="4">
        <v>178</v>
      </c>
      <c r="E243" s="4">
        <v>168</v>
      </c>
      <c r="F243" s="4">
        <v>222</v>
      </c>
      <c r="G243" s="4">
        <v>213</v>
      </c>
      <c r="H243" s="4">
        <v>154</v>
      </c>
      <c r="I243" s="5">
        <f t="shared" si="5"/>
        <v>1148</v>
      </c>
      <c r="K243" s="4" t="s">
        <v>1</v>
      </c>
      <c r="L243" s="5">
        <f>SUM(D242:D249)</f>
        <v>768</v>
      </c>
      <c r="N243" s="9"/>
      <c r="O243" s="5"/>
    </row>
    <row r="244" spans="1:15" ht="15">
      <c r="A244" s="4" t="s">
        <v>238</v>
      </c>
      <c r="B244" s="4" t="s">
        <v>241</v>
      </c>
      <c r="C244" s="4"/>
      <c r="D244" s="4"/>
      <c r="E244" s="4">
        <v>149</v>
      </c>
      <c r="F244" s="4"/>
      <c r="G244" s="4">
        <v>139</v>
      </c>
      <c r="H244" s="4"/>
      <c r="I244" s="5">
        <f t="shared" si="5"/>
        <v>288</v>
      </c>
      <c r="K244" s="4" t="s">
        <v>2</v>
      </c>
      <c r="L244" s="5">
        <f>SUM(E242:E249)</f>
        <v>831</v>
      </c>
      <c r="N244" s="9"/>
      <c r="O244" s="5"/>
    </row>
    <row r="245" spans="1:15" ht="15">
      <c r="A245" s="4" t="s">
        <v>238</v>
      </c>
      <c r="B245" s="4" t="s">
        <v>242</v>
      </c>
      <c r="C245" s="4"/>
      <c r="D245" s="4"/>
      <c r="E245" s="4">
        <v>140</v>
      </c>
      <c r="F245" s="4"/>
      <c r="G245" s="4">
        <v>144</v>
      </c>
      <c r="H245" s="4">
        <v>164</v>
      </c>
      <c r="I245" s="5">
        <f t="shared" si="5"/>
        <v>448</v>
      </c>
      <c r="K245" s="4" t="s">
        <v>4</v>
      </c>
      <c r="L245" s="5">
        <f>SUM(F242:F249)</f>
        <v>865</v>
      </c>
      <c r="N245" s="9"/>
      <c r="O245" s="5"/>
    </row>
    <row r="246" spans="1:15" ht="15">
      <c r="A246" s="4" t="s">
        <v>238</v>
      </c>
      <c r="B246" s="4" t="s">
        <v>243</v>
      </c>
      <c r="C246" s="4">
        <v>173</v>
      </c>
      <c r="D246" s="4">
        <v>137</v>
      </c>
      <c r="E246" s="4"/>
      <c r="F246" s="4">
        <v>134</v>
      </c>
      <c r="G246" s="4">
        <v>161</v>
      </c>
      <c r="H246" s="4">
        <v>168</v>
      </c>
      <c r="I246" s="5">
        <f t="shared" si="5"/>
        <v>773</v>
      </c>
      <c r="K246" s="4" t="s">
        <v>5</v>
      </c>
      <c r="L246" s="5">
        <f>SUM(G242:G249)</f>
        <v>872</v>
      </c>
      <c r="N246" s="9"/>
      <c r="O246" s="5"/>
    </row>
    <row r="247" spans="1:15" ht="15">
      <c r="A247" s="4" t="s">
        <v>238</v>
      </c>
      <c r="B247" s="4" t="s">
        <v>244</v>
      </c>
      <c r="C247" s="4">
        <v>166</v>
      </c>
      <c r="D247" s="4">
        <v>129</v>
      </c>
      <c r="E247" s="4"/>
      <c r="F247" s="4">
        <v>142</v>
      </c>
      <c r="G247" s="4"/>
      <c r="H247" s="4"/>
      <c r="I247" s="5">
        <f t="shared" si="5"/>
        <v>437</v>
      </c>
      <c r="K247" s="4" t="s">
        <v>6</v>
      </c>
      <c r="L247" s="5">
        <f>SUM(H242:H249)</f>
        <v>844</v>
      </c>
      <c r="N247" s="9"/>
      <c r="O247" s="5"/>
    </row>
    <row r="248" spans="1:15" ht="15">
      <c r="A248" s="4" t="s">
        <v>238</v>
      </c>
      <c r="B248" s="4" t="s">
        <v>245</v>
      </c>
      <c r="C248" s="4">
        <v>200</v>
      </c>
      <c r="D248" s="4">
        <v>154</v>
      </c>
      <c r="E248" s="4">
        <v>159</v>
      </c>
      <c r="F248" s="4">
        <v>144</v>
      </c>
      <c r="G248" s="4"/>
      <c r="H248" s="4">
        <v>165</v>
      </c>
      <c r="I248" s="5">
        <f t="shared" si="5"/>
        <v>822</v>
      </c>
      <c r="K248" s="5"/>
      <c r="L248" s="5"/>
      <c r="N248" s="9"/>
      <c r="O248" s="5"/>
    </row>
    <row r="249" spans="1:15" ht="15">
      <c r="A249" s="4"/>
      <c r="B249" s="4"/>
      <c r="C249" s="4"/>
      <c r="D249" s="4"/>
      <c r="E249" s="4"/>
      <c r="F249" s="4"/>
      <c r="G249" s="4"/>
      <c r="H249" s="4"/>
      <c r="I249" s="5">
        <f t="shared" si="5"/>
        <v>0</v>
      </c>
      <c r="K249" s="4"/>
      <c r="L249" s="5"/>
      <c r="N249" s="9"/>
      <c r="O249" s="5"/>
    </row>
    <row r="250" spans="1:15" ht="15">
      <c r="A250" s="8" t="s">
        <v>246</v>
      </c>
      <c r="B250" s="8" t="s">
        <v>247</v>
      </c>
      <c r="C250" s="8">
        <v>150</v>
      </c>
      <c r="D250" s="8">
        <v>172</v>
      </c>
      <c r="E250" s="8">
        <v>165</v>
      </c>
      <c r="F250" s="8">
        <v>147</v>
      </c>
      <c r="G250" s="8">
        <v>117</v>
      </c>
      <c r="H250" s="8"/>
      <c r="I250" s="7">
        <f t="shared" si="5"/>
        <v>751</v>
      </c>
      <c r="K250" s="8" t="s">
        <v>0</v>
      </c>
      <c r="L250" s="7">
        <f>SUM(C250:C257)</f>
        <v>712</v>
      </c>
      <c r="N250" s="6" t="str">
        <f>A250</f>
        <v>University of Cincinnati-Varsity</v>
      </c>
      <c r="O250" s="7">
        <f>SUM(L250:L255)</f>
        <v>4256</v>
      </c>
    </row>
    <row r="251" spans="1:15" ht="15">
      <c r="A251" s="8" t="s">
        <v>246</v>
      </c>
      <c r="B251" s="8" t="s">
        <v>248</v>
      </c>
      <c r="C251" s="8">
        <v>106</v>
      </c>
      <c r="D251" s="8">
        <v>172</v>
      </c>
      <c r="E251" s="8">
        <v>151</v>
      </c>
      <c r="F251" s="8">
        <v>169</v>
      </c>
      <c r="G251" s="8">
        <v>125</v>
      </c>
      <c r="H251" s="8">
        <v>166</v>
      </c>
      <c r="I251" s="7">
        <f t="shared" si="5"/>
        <v>889</v>
      </c>
      <c r="K251" s="8" t="s">
        <v>1</v>
      </c>
      <c r="L251" s="7">
        <f>SUM(D250:D257)</f>
        <v>834</v>
      </c>
      <c r="N251" s="6"/>
      <c r="O251" s="7"/>
    </row>
    <row r="252" spans="1:15" ht="15">
      <c r="A252" s="8" t="s">
        <v>246</v>
      </c>
      <c r="B252" s="8" t="s">
        <v>249</v>
      </c>
      <c r="C252" s="8"/>
      <c r="D252" s="8"/>
      <c r="E252" s="8"/>
      <c r="F252" s="8">
        <v>77</v>
      </c>
      <c r="G252" s="8"/>
      <c r="H252" s="8"/>
      <c r="I252" s="7">
        <f t="shared" si="5"/>
        <v>77</v>
      </c>
      <c r="K252" s="8" t="s">
        <v>2</v>
      </c>
      <c r="L252" s="7">
        <f>SUM(E250:E257)</f>
        <v>695</v>
      </c>
      <c r="N252" s="6"/>
      <c r="O252" s="7"/>
    </row>
    <row r="253" spans="1:15" ht="15">
      <c r="A253" s="8" t="s">
        <v>246</v>
      </c>
      <c r="B253" s="8" t="s">
        <v>250</v>
      </c>
      <c r="C253" s="8"/>
      <c r="D253" s="8"/>
      <c r="E253" s="8"/>
      <c r="F253" s="8"/>
      <c r="G253" s="8"/>
      <c r="H253" s="8">
        <v>108</v>
      </c>
      <c r="I253" s="7">
        <f t="shared" si="5"/>
        <v>108</v>
      </c>
      <c r="K253" s="8" t="s">
        <v>4</v>
      </c>
      <c r="L253" s="7">
        <f>SUM(F250:F257)</f>
        <v>753</v>
      </c>
      <c r="N253" s="6"/>
      <c r="O253" s="7"/>
    </row>
    <row r="254" spans="1:15" ht="15">
      <c r="A254" s="8" t="s">
        <v>246</v>
      </c>
      <c r="B254" s="8" t="s">
        <v>251</v>
      </c>
      <c r="C254" s="8">
        <v>153</v>
      </c>
      <c r="D254" s="8">
        <v>158</v>
      </c>
      <c r="E254" s="8">
        <v>130</v>
      </c>
      <c r="F254" s="8"/>
      <c r="G254" s="8"/>
      <c r="H254" s="8"/>
      <c r="I254" s="7">
        <f t="shared" si="5"/>
        <v>441</v>
      </c>
      <c r="K254" s="8" t="s">
        <v>5</v>
      </c>
      <c r="L254" s="7">
        <f>SUM(G250:G257)</f>
        <v>619</v>
      </c>
      <c r="N254" s="6"/>
      <c r="O254" s="7"/>
    </row>
    <row r="255" spans="1:15" ht="15">
      <c r="A255" s="8" t="s">
        <v>246</v>
      </c>
      <c r="B255" s="8" t="s">
        <v>252</v>
      </c>
      <c r="C255" s="8"/>
      <c r="D255" s="8"/>
      <c r="E255" s="8">
        <v>105</v>
      </c>
      <c r="F255" s="8"/>
      <c r="G255" s="8">
        <v>126</v>
      </c>
      <c r="H255" s="8">
        <v>104</v>
      </c>
      <c r="I255" s="7">
        <f t="shared" si="5"/>
        <v>335</v>
      </c>
      <c r="K255" s="8" t="s">
        <v>6</v>
      </c>
      <c r="L255" s="7">
        <f>SUM(H250:H257)</f>
        <v>643</v>
      </c>
      <c r="N255" s="6"/>
      <c r="O255" s="7"/>
    </row>
    <row r="256" spans="1:15" ht="15">
      <c r="A256" s="8" t="s">
        <v>246</v>
      </c>
      <c r="B256" s="8" t="s">
        <v>253</v>
      </c>
      <c r="C256" s="8">
        <v>152</v>
      </c>
      <c r="D256" s="8">
        <v>185</v>
      </c>
      <c r="E256" s="8">
        <v>144</v>
      </c>
      <c r="F256" s="8">
        <v>184</v>
      </c>
      <c r="G256" s="8">
        <v>134</v>
      </c>
      <c r="H256" s="8">
        <v>137</v>
      </c>
      <c r="I256" s="7">
        <f t="shared" si="5"/>
        <v>936</v>
      </c>
      <c r="K256" s="8"/>
      <c r="L256" s="7"/>
      <c r="N256" s="6"/>
      <c r="O256" s="7"/>
    </row>
    <row r="257" spans="1:15" ht="15">
      <c r="A257" s="8" t="s">
        <v>246</v>
      </c>
      <c r="B257" s="8" t="s">
        <v>254</v>
      </c>
      <c r="C257" s="8">
        <v>151</v>
      </c>
      <c r="D257" s="8">
        <v>147</v>
      </c>
      <c r="E257" s="8"/>
      <c r="F257" s="8">
        <v>176</v>
      </c>
      <c r="G257" s="8">
        <v>117</v>
      </c>
      <c r="H257" s="8">
        <v>128</v>
      </c>
      <c r="I257" s="7">
        <f t="shared" si="5"/>
        <v>719</v>
      </c>
      <c r="K257" s="8"/>
      <c r="L257" s="7"/>
      <c r="N257" s="6"/>
      <c r="O257" s="7"/>
    </row>
    <row r="258" spans="1:15" ht="15">
      <c r="A258" s="4" t="s">
        <v>255</v>
      </c>
      <c r="B258" s="4" t="s">
        <v>256</v>
      </c>
      <c r="C258" s="4">
        <v>159</v>
      </c>
      <c r="D258" s="4">
        <v>205</v>
      </c>
      <c r="E258" s="4">
        <v>279</v>
      </c>
      <c r="F258" s="4">
        <v>218</v>
      </c>
      <c r="G258" s="4">
        <v>200</v>
      </c>
      <c r="H258" s="4">
        <v>177</v>
      </c>
      <c r="I258" s="5">
        <f t="shared" si="5"/>
        <v>1238</v>
      </c>
      <c r="K258" s="4" t="s">
        <v>0</v>
      </c>
      <c r="L258" s="5">
        <f>SUM(C258:C265)</f>
        <v>761</v>
      </c>
      <c r="N258" s="9" t="str">
        <f>A258</f>
        <v>University of Illinois-Urbana-Varsity</v>
      </c>
      <c r="O258" s="5">
        <f>SUM(L258:L263)</f>
        <v>5070</v>
      </c>
    </row>
    <row r="259" spans="1:15" ht="15">
      <c r="A259" s="4" t="s">
        <v>255</v>
      </c>
      <c r="B259" s="4" t="s">
        <v>257</v>
      </c>
      <c r="C259" s="4">
        <v>177</v>
      </c>
      <c r="D259" s="4">
        <v>157</v>
      </c>
      <c r="E259" s="4">
        <v>157</v>
      </c>
      <c r="F259" s="4">
        <v>167</v>
      </c>
      <c r="G259" s="4">
        <v>158</v>
      </c>
      <c r="H259" s="4">
        <v>201</v>
      </c>
      <c r="I259" s="5">
        <f t="shared" si="5"/>
        <v>1017</v>
      </c>
      <c r="K259" s="4" t="s">
        <v>1</v>
      </c>
      <c r="L259" s="5">
        <f>SUM(D258:D265)</f>
        <v>917</v>
      </c>
      <c r="N259" s="9"/>
      <c r="O259" s="5"/>
    </row>
    <row r="260" spans="1:15" ht="15">
      <c r="A260" s="4" t="s">
        <v>255</v>
      </c>
      <c r="B260" s="4" t="s">
        <v>258</v>
      </c>
      <c r="C260" s="4">
        <v>146</v>
      </c>
      <c r="D260" s="4">
        <v>183</v>
      </c>
      <c r="E260" s="4">
        <v>148</v>
      </c>
      <c r="F260" s="4">
        <v>137</v>
      </c>
      <c r="G260" s="4"/>
      <c r="H260" s="4">
        <v>185</v>
      </c>
      <c r="I260" s="5">
        <f t="shared" si="5"/>
        <v>799</v>
      </c>
      <c r="K260" s="4" t="s">
        <v>2</v>
      </c>
      <c r="L260" s="5">
        <f>SUM(E258:E265)</f>
        <v>925</v>
      </c>
      <c r="N260" s="9"/>
      <c r="O260" s="5"/>
    </row>
    <row r="261" spans="1:15" ht="15">
      <c r="A261" s="4" t="s">
        <v>255</v>
      </c>
      <c r="B261" s="4" t="s">
        <v>259</v>
      </c>
      <c r="C261" s="4">
        <v>143</v>
      </c>
      <c r="D261" s="4">
        <v>182</v>
      </c>
      <c r="E261" s="4">
        <v>191</v>
      </c>
      <c r="F261" s="4">
        <v>114</v>
      </c>
      <c r="G261" s="4">
        <v>169</v>
      </c>
      <c r="H261" s="4"/>
      <c r="I261" s="5">
        <f t="shared" si="5"/>
        <v>799</v>
      </c>
      <c r="K261" s="4" t="s">
        <v>4</v>
      </c>
      <c r="L261" s="5">
        <f>SUM(F258:F265)</f>
        <v>791</v>
      </c>
      <c r="N261" s="9"/>
      <c r="O261" s="5"/>
    </row>
    <row r="262" spans="1:15" ht="15">
      <c r="A262" s="4" t="s">
        <v>255</v>
      </c>
      <c r="B262" s="4" t="s">
        <v>260</v>
      </c>
      <c r="C262" s="4">
        <v>136</v>
      </c>
      <c r="D262" s="4">
        <v>190</v>
      </c>
      <c r="E262" s="4"/>
      <c r="F262" s="4"/>
      <c r="G262" s="4">
        <v>161</v>
      </c>
      <c r="H262" s="4">
        <v>135</v>
      </c>
      <c r="I262" s="5">
        <f t="shared" si="5"/>
        <v>622</v>
      </c>
      <c r="K262" s="4" t="s">
        <v>5</v>
      </c>
      <c r="L262" s="5">
        <f>SUM(G258:G265)</f>
        <v>818</v>
      </c>
      <c r="N262" s="9"/>
      <c r="O262" s="5"/>
    </row>
    <row r="263" spans="1:15" ht="15">
      <c r="A263" s="4" t="s">
        <v>255</v>
      </c>
      <c r="B263" s="4" t="s">
        <v>261</v>
      </c>
      <c r="C263" s="4"/>
      <c r="D263" s="4"/>
      <c r="E263" s="4"/>
      <c r="F263" s="4">
        <v>155</v>
      </c>
      <c r="G263" s="4">
        <v>130</v>
      </c>
      <c r="H263" s="4"/>
      <c r="I263" s="5">
        <f t="shared" si="5"/>
        <v>285</v>
      </c>
      <c r="K263" s="4" t="s">
        <v>6</v>
      </c>
      <c r="L263" s="5">
        <f>SUM(H258:H265)</f>
        <v>858</v>
      </c>
      <c r="N263" s="9"/>
      <c r="O263" s="5"/>
    </row>
    <row r="264" spans="1:15" ht="15">
      <c r="A264" s="4" t="s">
        <v>255</v>
      </c>
      <c r="B264" s="4" t="s">
        <v>262</v>
      </c>
      <c r="C264" s="4"/>
      <c r="D264" s="4"/>
      <c r="E264" s="4">
        <v>150</v>
      </c>
      <c r="F264" s="4"/>
      <c r="G264" s="4"/>
      <c r="H264" s="4">
        <v>160</v>
      </c>
      <c r="I264" s="5">
        <f t="shared" si="5"/>
        <v>310</v>
      </c>
      <c r="K264" s="5"/>
      <c r="L264" s="5"/>
      <c r="N264" s="9"/>
      <c r="O264" s="5"/>
    </row>
    <row r="265" spans="1:15" ht="15">
      <c r="A265" s="9"/>
      <c r="B265" s="4"/>
      <c r="C265" s="4"/>
      <c r="D265" s="4"/>
      <c r="E265" s="4"/>
      <c r="F265" s="4"/>
      <c r="G265" s="4"/>
      <c r="H265" s="4"/>
      <c r="I265" s="5">
        <f t="shared" si="5"/>
        <v>0</v>
      </c>
      <c r="K265" s="4"/>
      <c r="L265" s="5"/>
      <c r="N265" s="9"/>
      <c r="O265" s="5"/>
    </row>
    <row r="266" spans="1:15" ht="15">
      <c r="A266" s="8" t="s">
        <v>263</v>
      </c>
      <c r="B266" s="8" t="s">
        <v>264</v>
      </c>
      <c r="C266" s="8">
        <v>139</v>
      </c>
      <c r="D266" s="8">
        <v>146</v>
      </c>
      <c r="E266" s="8">
        <v>154</v>
      </c>
      <c r="F266" s="8">
        <v>104</v>
      </c>
      <c r="G266" s="8">
        <v>233</v>
      </c>
      <c r="H266" s="8">
        <v>164</v>
      </c>
      <c r="I266" s="7">
        <f t="shared" si="5"/>
        <v>940</v>
      </c>
      <c r="K266" s="8" t="s">
        <v>0</v>
      </c>
      <c r="L266" s="7">
        <f>SUM(C266:C273)</f>
        <v>715</v>
      </c>
      <c r="N266" s="6" t="str">
        <f>A266</f>
        <v>University of Illinois-Urbana-Junior Varsity</v>
      </c>
      <c r="O266" s="7">
        <f>SUM(L266:L271)</f>
        <v>4437</v>
      </c>
    </row>
    <row r="267" spans="1:15" ht="15">
      <c r="A267" s="8" t="s">
        <v>263</v>
      </c>
      <c r="B267" s="8" t="s">
        <v>265</v>
      </c>
      <c r="C267" s="8">
        <v>0</v>
      </c>
      <c r="D267" s="8"/>
      <c r="E267" s="8"/>
      <c r="F267" s="8"/>
      <c r="G267" s="8"/>
      <c r="H267" s="8"/>
      <c r="I267" s="7">
        <f t="shared" si="5"/>
        <v>0</v>
      </c>
      <c r="K267" s="8" t="s">
        <v>1</v>
      </c>
      <c r="L267" s="7">
        <f>SUM(D266:D273)</f>
        <v>686</v>
      </c>
      <c r="N267" s="6"/>
      <c r="O267" s="7"/>
    </row>
    <row r="268" spans="1:15" ht="15">
      <c r="A268" s="8" t="s">
        <v>263</v>
      </c>
      <c r="B268" s="8" t="s">
        <v>266</v>
      </c>
      <c r="C268" s="8">
        <v>0</v>
      </c>
      <c r="D268" s="8"/>
      <c r="E268" s="8"/>
      <c r="F268" s="8"/>
      <c r="G268" s="8"/>
      <c r="H268" s="8"/>
      <c r="I268" s="7">
        <f t="shared" si="5"/>
        <v>0</v>
      </c>
      <c r="K268" s="8" t="s">
        <v>2</v>
      </c>
      <c r="L268" s="7">
        <f>SUM(E266:E273)</f>
        <v>718</v>
      </c>
      <c r="N268" s="6"/>
      <c r="O268" s="7"/>
    </row>
    <row r="269" spans="1:15" ht="15">
      <c r="A269" s="8" t="s">
        <v>263</v>
      </c>
      <c r="B269" s="8" t="s">
        <v>267</v>
      </c>
      <c r="C269" s="8">
        <v>155</v>
      </c>
      <c r="D269" s="8">
        <v>151</v>
      </c>
      <c r="E269" s="8">
        <v>183</v>
      </c>
      <c r="F269" s="8">
        <v>178</v>
      </c>
      <c r="G269" s="8">
        <v>149</v>
      </c>
      <c r="H269" s="8">
        <v>146</v>
      </c>
      <c r="I269" s="7">
        <f t="shared" si="5"/>
        <v>962</v>
      </c>
      <c r="K269" s="8" t="s">
        <v>4</v>
      </c>
      <c r="L269" s="7">
        <f>SUM(F266:F273)</f>
        <v>670</v>
      </c>
      <c r="N269" s="6"/>
      <c r="O269" s="7"/>
    </row>
    <row r="270" spans="1:15" ht="15">
      <c r="A270" s="8" t="s">
        <v>263</v>
      </c>
      <c r="B270" s="8" t="s">
        <v>268</v>
      </c>
      <c r="C270" s="8">
        <v>158</v>
      </c>
      <c r="D270" s="8">
        <v>122</v>
      </c>
      <c r="E270" s="8">
        <v>134</v>
      </c>
      <c r="F270" s="8">
        <v>101</v>
      </c>
      <c r="G270" s="8">
        <v>169</v>
      </c>
      <c r="H270" s="8">
        <v>113</v>
      </c>
      <c r="I270" s="7">
        <f t="shared" si="5"/>
        <v>797</v>
      </c>
      <c r="K270" s="8" t="s">
        <v>5</v>
      </c>
      <c r="L270" s="7">
        <f>SUM(G266:G273)</f>
        <v>922</v>
      </c>
      <c r="N270" s="6"/>
      <c r="O270" s="7"/>
    </row>
    <row r="271" spans="1:15" ht="15">
      <c r="A271" s="8" t="s">
        <v>263</v>
      </c>
      <c r="B271" s="8" t="s">
        <v>269</v>
      </c>
      <c r="C271" s="8">
        <v>135</v>
      </c>
      <c r="D271" s="8">
        <v>134</v>
      </c>
      <c r="E271" s="8">
        <v>134</v>
      </c>
      <c r="F271" s="8">
        <v>163</v>
      </c>
      <c r="G271" s="8">
        <v>201</v>
      </c>
      <c r="H271" s="8">
        <v>165</v>
      </c>
      <c r="I271" s="7">
        <f t="shared" si="5"/>
        <v>932</v>
      </c>
      <c r="K271" s="8" t="s">
        <v>6</v>
      </c>
      <c r="L271" s="7">
        <f>SUM(H266:H273)</f>
        <v>726</v>
      </c>
      <c r="N271" s="6"/>
      <c r="O271" s="7"/>
    </row>
    <row r="272" spans="1:15" ht="15">
      <c r="A272" s="8" t="s">
        <v>263</v>
      </c>
      <c r="B272" s="8" t="s">
        <v>270</v>
      </c>
      <c r="C272" s="8">
        <v>128</v>
      </c>
      <c r="D272" s="8">
        <v>133</v>
      </c>
      <c r="E272" s="8">
        <v>113</v>
      </c>
      <c r="F272" s="8">
        <v>124</v>
      </c>
      <c r="G272" s="8">
        <v>170</v>
      </c>
      <c r="H272" s="8">
        <v>138</v>
      </c>
      <c r="I272" s="7">
        <f t="shared" si="5"/>
        <v>806</v>
      </c>
      <c r="K272" s="8"/>
      <c r="L272" s="7"/>
      <c r="N272" s="6"/>
      <c r="O272" s="7"/>
    </row>
    <row r="273" spans="1:15" ht="15">
      <c r="A273" s="8"/>
      <c r="B273" s="8"/>
      <c r="C273" s="8"/>
      <c r="D273" s="8"/>
      <c r="E273" s="8"/>
      <c r="F273" s="8"/>
      <c r="G273" s="8"/>
      <c r="H273" s="8"/>
      <c r="I273" s="7">
        <f t="shared" si="5"/>
        <v>0</v>
      </c>
      <c r="K273" s="8"/>
      <c r="L273" s="7"/>
      <c r="N273" s="6"/>
      <c r="O273" s="7"/>
    </row>
    <row r="274" spans="1:15" ht="15">
      <c r="A274" s="4" t="s">
        <v>271</v>
      </c>
      <c r="B274" s="4" t="s">
        <v>272</v>
      </c>
      <c r="C274" s="4">
        <v>187</v>
      </c>
      <c r="D274" s="4">
        <v>200</v>
      </c>
      <c r="E274" s="4">
        <v>155</v>
      </c>
      <c r="F274" s="4">
        <v>171</v>
      </c>
      <c r="G274" s="4">
        <v>145</v>
      </c>
      <c r="H274" s="4">
        <v>178</v>
      </c>
      <c r="I274" s="5">
        <f t="shared" si="5"/>
        <v>1036</v>
      </c>
      <c r="K274" s="4" t="s">
        <v>0</v>
      </c>
      <c r="L274" s="5">
        <f>SUM(C274:C281)</f>
        <v>784</v>
      </c>
      <c r="N274" s="9" t="str">
        <f>A274</f>
        <v>University of Louisville-Varsity</v>
      </c>
      <c r="O274" s="5">
        <f>SUM(L274:L279)</f>
        <v>4382</v>
      </c>
    </row>
    <row r="275" spans="1:15" ht="15">
      <c r="A275" s="4" t="s">
        <v>271</v>
      </c>
      <c r="B275" s="4" t="s">
        <v>273</v>
      </c>
      <c r="C275" s="4">
        <v>185</v>
      </c>
      <c r="D275" s="4">
        <v>152</v>
      </c>
      <c r="E275" s="4">
        <v>186</v>
      </c>
      <c r="F275" s="4">
        <v>168</v>
      </c>
      <c r="G275" s="4">
        <v>143</v>
      </c>
      <c r="H275" s="4">
        <v>161</v>
      </c>
      <c r="I275" s="5">
        <f t="shared" si="5"/>
        <v>995</v>
      </c>
      <c r="K275" s="4" t="s">
        <v>1</v>
      </c>
      <c r="L275" s="5">
        <f>SUM(D274:D281)</f>
        <v>773</v>
      </c>
      <c r="N275" s="9"/>
      <c r="O275" s="5"/>
    </row>
    <row r="276" spans="1:15" ht="15">
      <c r="A276" s="4" t="s">
        <v>271</v>
      </c>
      <c r="B276" s="4" t="s">
        <v>274</v>
      </c>
      <c r="C276" s="4">
        <v>103</v>
      </c>
      <c r="D276" s="4">
        <v>144</v>
      </c>
      <c r="E276" s="4">
        <v>86</v>
      </c>
      <c r="F276" s="4">
        <v>83</v>
      </c>
      <c r="G276" s="4">
        <v>79</v>
      </c>
      <c r="H276" s="4">
        <v>71</v>
      </c>
      <c r="I276" s="5">
        <f t="shared" si="5"/>
        <v>566</v>
      </c>
      <c r="K276" s="4" t="s">
        <v>2</v>
      </c>
      <c r="L276" s="5">
        <f>SUM(E274:E281)</f>
        <v>751</v>
      </c>
      <c r="N276" s="9"/>
      <c r="O276" s="5"/>
    </row>
    <row r="277" spans="1:15" ht="15">
      <c r="A277" s="4" t="s">
        <v>271</v>
      </c>
      <c r="B277" s="4" t="s">
        <v>275</v>
      </c>
      <c r="C277" s="4">
        <v>162</v>
      </c>
      <c r="D277" s="4">
        <v>137</v>
      </c>
      <c r="E277" s="4">
        <v>211</v>
      </c>
      <c r="F277" s="4">
        <v>166</v>
      </c>
      <c r="G277" s="4">
        <v>199</v>
      </c>
      <c r="H277" s="4">
        <v>197</v>
      </c>
      <c r="I277" s="5">
        <f t="shared" si="5"/>
        <v>1072</v>
      </c>
      <c r="K277" s="4" t="s">
        <v>4</v>
      </c>
      <c r="L277" s="5">
        <f>SUM(F274:F281)</f>
        <v>678</v>
      </c>
      <c r="N277" s="9"/>
      <c r="O277" s="5"/>
    </row>
    <row r="278" spans="1:15" ht="15">
      <c r="A278" s="4" t="s">
        <v>271</v>
      </c>
      <c r="B278" s="4" t="s">
        <v>276</v>
      </c>
      <c r="C278" s="4"/>
      <c r="D278" s="4"/>
      <c r="E278" s="4"/>
      <c r="F278" s="4"/>
      <c r="G278" s="4"/>
      <c r="H278" s="4"/>
      <c r="I278" s="5">
        <f t="shared" si="5"/>
        <v>0</v>
      </c>
      <c r="K278" s="4" t="s">
        <v>5</v>
      </c>
      <c r="L278" s="5">
        <f>SUM(G274:G281)</f>
        <v>680</v>
      </c>
      <c r="N278" s="9"/>
      <c r="O278" s="5"/>
    </row>
    <row r="279" spans="1:15" ht="15">
      <c r="A279" s="4" t="s">
        <v>271</v>
      </c>
      <c r="B279" s="4" t="s">
        <v>277</v>
      </c>
      <c r="C279" s="4">
        <v>147</v>
      </c>
      <c r="D279" s="4">
        <v>140</v>
      </c>
      <c r="E279" s="4">
        <v>113</v>
      </c>
      <c r="F279" s="4">
        <v>90</v>
      </c>
      <c r="G279" s="4">
        <v>114</v>
      </c>
      <c r="H279" s="4">
        <v>109</v>
      </c>
      <c r="I279" s="5">
        <f t="shared" si="5"/>
        <v>713</v>
      </c>
      <c r="K279" s="4" t="s">
        <v>6</v>
      </c>
      <c r="L279" s="5">
        <f>SUM(H274:H281)</f>
        <v>716</v>
      </c>
      <c r="N279" s="9"/>
      <c r="O279" s="5"/>
    </row>
    <row r="280" spans="1:15" ht="15">
      <c r="A280" s="4"/>
      <c r="B280" s="4"/>
      <c r="C280" s="4"/>
      <c r="D280" s="4"/>
      <c r="E280" s="4"/>
      <c r="F280" s="4"/>
      <c r="G280" s="4"/>
      <c r="H280" s="4"/>
      <c r="I280" s="5">
        <f t="shared" si="5"/>
        <v>0</v>
      </c>
      <c r="K280" s="5"/>
      <c r="L280" s="5"/>
      <c r="N280" s="9"/>
      <c r="O280" s="5"/>
    </row>
    <row r="281" spans="1:15" ht="15">
      <c r="A281" s="9"/>
      <c r="B281" s="4"/>
      <c r="C281" s="4"/>
      <c r="D281" s="4"/>
      <c r="E281" s="4"/>
      <c r="F281" s="4"/>
      <c r="G281" s="4"/>
      <c r="H281" s="4"/>
      <c r="I281" s="5">
        <f t="shared" si="5"/>
        <v>0</v>
      </c>
      <c r="K281" s="4"/>
      <c r="L281" s="5"/>
      <c r="N281" s="9"/>
      <c r="O281" s="5"/>
    </row>
    <row r="282" spans="1:15" ht="15">
      <c r="A282" s="8" t="s">
        <v>278</v>
      </c>
      <c r="B282" s="8" t="s">
        <v>279</v>
      </c>
      <c r="C282" s="8">
        <v>178</v>
      </c>
      <c r="D282" s="8">
        <v>183</v>
      </c>
      <c r="E282" s="8">
        <v>151</v>
      </c>
      <c r="F282" s="8">
        <v>211</v>
      </c>
      <c r="G282" s="8">
        <v>190</v>
      </c>
      <c r="H282" s="8">
        <v>226</v>
      </c>
      <c r="I282" s="7">
        <f aca="true" t="shared" si="6" ref="I282:I345">SUM(C282:H282)</f>
        <v>1139</v>
      </c>
      <c r="K282" s="8" t="s">
        <v>0</v>
      </c>
      <c r="L282" s="7">
        <f>SUM(C282:C289)</f>
        <v>879</v>
      </c>
      <c r="N282" s="6" t="str">
        <f>A282</f>
        <v>University of Michigan-Ann Arbor-Varsity</v>
      </c>
      <c r="O282" s="7">
        <f>SUM(L282:L287)</f>
        <v>5360</v>
      </c>
    </row>
    <row r="283" spans="1:15" ht="15">
      <c r="A283" s="8" t="s">
        <v>278</v>
      </c>
      <c r="B283" s="8" t="s">
        <v>280</v>
      </c>
      <c r="C283" s="8">
        <v>122</v>
      </c>
      <c r="D283" s="8"/>
      <c r="E283" s="8"/>
      <c r="F283" s="8"/>
      <c r="G283" s="8"/>
      <c r="H283" s="8">
        <v>213</v>
      </c>
      <c r="I283" s="7">
        <f t="shared" si="6"/>
        <v>335</v>
      </c>
      <c r="K283" s="8" t="s">
        <v>1</v>
      </c>
      <c r="L283" s="7">
        <f>SUM(D282:D289)</f>
        <v>904</v>
      </c>
      <c r="N283" s="6"/>
      <c r="O283" s="7"/>
    </row>
    <row r="284" spans="1:15" ht="15">
      <c r="A284" s="8" t="s">
        <v>278</v>
      </c>
      <c r="B284" s="8" t="s">
        <v>281</v>
      </c>
      <c r="C284" s="8">
        <v>204</v>
      </c>
      <c r="D284" s="8">
        <v>177</v>
      </c>
      <c r="E284" s="8">
        <v>197</v>
      </c>
      <c r="F284" s="8">
        <v>159</v>
      </c>
      <c r="G284" s="8">
        <v>134</v>
      </c>
      <c r="H284" s="8"/>
      <c r="I284" s="7">
        <f t="shared" si="6"/>
        <v>871</v>
      </c>
      <c r="K284" s="8" t="s">
        <v>2</v>
      </c>
      <c r="L284" s="7">
        <f>SUM(E282:E289)</f>
        <v>798</v>
      </c>
      <c r="N284" s="6"/>
      <c r="O284" s="7"/>
    </row>
    <row r="285" spans="1:15" ht="15">
      <c r="A285" s="8" t="s">
        <v>278</v>
      </c>
      <c r="B285" s="8" t="s">
        <v>282</v>
      </c>
      <c r="C285" s="8">
        <v>199</v>
      </c>
      <c r="D285" s="8">
        <v>185</v>
      </c>
      <c r="E285" s="8">
        <v>181</v>
      </c>
      <c r="F285" s="8">
        <v>150</v>
      </c>
      <c r="G285" s="8">
        <v>190</v>
      </c>
      <c r="H285" s="8">
        <v>208</v>
      </c>
      <c r="I285" s="7">
        <f t="shared" si="6"/>
        <v>1113</v>
      </c>
      <c r="K285" s="8" t="s">
        <v>4</v>
      </c>
      <c r="L285" s="7">
        <f>SUM(F282:F289)</f>
        <v>941</v>
      </c>
      <c r="N285" s="6"/>
      <c r="O285" s="7"/>
    </row>
    <row r="286" spans="1:15" ht="15">
      <c r="A286" s="8" t="s">
        <v>278</v>
      </c>
      <c r="B286" s="8" t="s">
        <v>283</v>
      </c>
      <c r="C286" s="8">
        <v>176</v>
      </c>
      <c r="D286" s="8">
        <v>210</v>
      </c>
      <c r="E286" s="8">
        <v>159</v>
      </c>
      <c r="F286" s="8">
        <v>210</v>
      </c>
      <c r="G286" s="8">
        <v>166</v>
      </c>
      <c r="H286" s="8">
        <v>204</v>
      </c>
      <c r="I286" s="7">
        <f t="shared" si="6"/>
        <v>1125</v>
      </c>
      <c r="K286" s="8" t="s">
        <v>5</v>
      </c>
      <c r="L286" s="7">
        <f>SUM(G282:G289)</f>
        <v>833</v>
      </c>
      <c r="N286" s="6"/>
      <c r="O286" s="7"/>
    </row>
    <row r="287" spans="1:15" ht="15">
      <c r="A287" s="8" t="s">
        <v>278</v>
      </c>
      <c r="B287" s="8" t="s">
        <v>284</v>
      </c>
      <c r="C287" s="8"/>
      <c r="D287" s="8">
        <v>149</v>
      </c>
      <c r="E287" s="8">
        <v>110</v>
      </c>
      <c r="F287" s="8"/>
      <c r="G287" s="8"/>
      <c r="H287" s="8">
        <v>154</v>
      </c>
      <c r="I287" s="7">
        <f t="shared" si="6"/>
        <v>413</v>
      </c>
      <c r="K287" s="8" t="s">
        <v>6</v>
      </c>
      <c r="L287" s="7">
        <f>SUM(H282:H289)</f>
        <v>1005</v>
      </c>
      <c r="N287" s="6"/>
      <c r="O287" s="7"/>
    </row>
    <row r="288" spans="1:15" ht="15">
      <c r="A288" s="8" t="s">
        <v>278</v>
      </c>
      <c r="B288" s="8" t="s">
        <v>285</v>
      </c>
      <c r="C288" s="8"/>
      <c r="D288" s="8"/>
      <c r="E288" s="8"/>
      <c r="F288" s="8"/>
      <c r="G288" s="8"/>
      <c r="H288" s="8"/>
      <c r="I288" s="7">
        <f t="shared" si="6"/>
        <v>0</v>
      </c>
      <c r="K288" s="8"/>
      <c r="L288" s="7"/>
      <c r="N288" s="6"/>
      <c r="O288" s="7"/>
    </row>
    <row r="289" spans="1:15" ht="15">
      <c r="A289" s="8" t="s">
        <v>278</v>
      </c>
      <c r="B289" s="8" t="s">
        <v>286</v>
      </c>
      <c r="C289" s="8"/>
      <c r="D289" s="8"/>
      <c r="E289" s="8"/>
      <c r="F289" s="8">
        <v>211</v>
      </c>
      <c r="G289" s="8">
        <v>153</v>
      </c>
      <c r="H289" s="8"/>
      <c r="I289" s="7">
        <f t="shared" si="6"/>
        <v>364</v>
      </c>
      <c r="K289" s="8"/>
      <c r="L289" s="7"/>
      <c r="N289" s="6"/>
      <c r="O289" s="7"/>
    </row>
    <row r="290" spans="1:15" ht="15">
      <c r="A290" s="4" t="s">
        <v>647</v>
      </c>
      <c r="B290" s="4" t="s">
        <v>287</v>
      </c>
      <c r="C290" s="4">
        <v>188</v>
      </c>
      <c r="D290" s="4">
        <v>175</v>
      </c>
      <c r="E290" s="4">
        <v>246</v>
      </c>
      <c r="F290" s="4">
        <v>172</v>
      </c>
      <c r="G290" s="4">
        <v>188</v>
      </c>
      <c r="H290" s="4">
        <v>176</v>
      </c>
      <c r="I290" s="5">
        <f t="shared" si="6"/>
        <v>1145</v>
      </c>
      <c r="K290" s="4" t="s">
        <v>0</v>
      </c>
      <c r="L290" s="5">
        <f>SUM(C290:C297)</f>
        <v>961</v>
      </c>
      <c r="N290" s="9" t="str">
        <f>A290</f>
        <v>University of St Francis-Varsity - IL</v>
      </c>
      <c r="O290" s="5">
        <f>SUM(L290:L295)</f>
        <v>5806</v>
      </c>
    </row>
    <row r="291" spans="1:15" ht="15">
      <c r="A291" s="4" t="s">
        <v>647</v>
      </c>
      <c r="B291" s="4" t="s">
        <v>288</v>
      </c>
      <c r="C291" s="4">
        <v>220</v>
      </c>
      <c r="D291" s="4">
        <v>195</v>
      </c>
      <c r="E291" s="4">
        <v>191</v>
      </c>
      <c r="F291" s="4">
        <v>215</v>
      </c>
      <c r="G291" s="4">
        <v>202</v>
      </c>
      <c r="H291" s="4">
        <v>206</v>
      </c>
      <c r="I291" s="5">
        <f t="shared" si="6"/>
        <v>1229</v>
      </c>
      <c r="K291" s="4" t="s">
        <v>1</v>
      </c>
      <c r="L291" s="5">
        <f>SUM(D290:D297)</f>
        <v>915</v>
      </c>
      <c r="N291" s="9"/>
      <c r="O291" s="5"/>
    </row>
    <row r="292" spans="1:15" ht="15">
      <c r="A292" s="4" t="s">
        <v>647</v>
      </c>
      <c r="B292" s="4" t="s">
        <v>289</v>
      </c>
      <c r="C292" s="4">
        <v>213</v>
      </c>
      <c r="D292" s="4">
        <v>179</v>
      </c>
      <c r="E292" s="4">
        <v>195</v>
      </c>
      <c r="F292" s="4">
        <v>181</v>
      </c>
      <c r="G292" s="4">
        <v>202</v>
      </c>
      <c r="H292" s="4">
        <v>199</v>
      </c>
      <c r="I292" s="5">
        <f t="shared" si="6"/>
        <v>1169</v>
      </c>
      <c r="K292" s="4" t="s">
        <v>2</v>
      </c>
      <c r="L292" s="5">
        <f>SUM(E290:E297)</f>
        <v>1040</v>
      </c>
      <c r="N292" s="9"/>
      <c r="O292" s="5"/>
    </row>
    <row r="293" spans="1:15" ht="15">
      <c r="A293" s="4" t="s">
        <v>647</v>
      </c>
      <c r="B293" s="4" t="s">
        <v>290</v>
      </c>
      <c r="C293" s="4">
        <v>146</v>
      </c>
      <c r="D293" s="4"/>
      <c r="E293" s="4"/>
      <c r="F293" s="4"/>
      <c r="G293" s="4"/>
      <c r="H293" s="4"/>
      <c r="I293" s="5">
        <f t="shared" si="6"/>
        <v>146</v>
      </c>
      <c r="K293" s="4" t="s">
        <v>4</v>
      </c>
      <c r="L293" s="5">
        <f>SUM(F290:F297)</f>
        <v>907</v>
      </c>
      <c r="N293" s="9"/>
      <c r="O293" s="5"/>
    </row>
    <row r="294" spans="1:15" ht="15">
      <c r="A294" s="4" t="s">
        <v>647</v>
      </c>
      <c r="B294" s="4" t="s">
        <v>294</v>
      </c>
      <c r="C294" s="4"/>
      <c r="D294" s="4"/>
      <c r="E294" s="4">
        <v>194</v>
      </c>
      <c r="F294" s="4">
        <v>156</v>
      </c>
      <c r="G294" s="4">
        <v>207</v>
      </c>
      <c r="H294" s="4">
        <v>168</v>
      </c>
      <c r="I294" s="5">
        <f t="shared" si="6"/>
        <v>725</v>
      </c>
      <c r="K294" s="4" t="s">
        <v>5</v>
      </c>
      <c r="L294" s="5">
        <f>SUM(G290:G297)</f>
        <v>1022</v>
      </c>
      <c r="N294" s="9"/>
      <c r="O294" s="5"/>
    </row>
    <row r="295" spans="1:15" ht="15">
      <c r="A295" s="4" t="s">
        <v>647</v>
      </c>
      <c r="B295" s="4" t="s">
        <v>292</v>
      </c>
      <c r="C295" s="4"/>
      <c r="D295" s="4">
        <v>205</v>
      </c>
      <c r="E295" s="4">
        <v>214</v>
      </c>
      <c r="F295" s="4">
        <v>183</v>
      </c>
      <c r="G295" s="4">
        <v>223</v>
      </c>
      <c r="H295" s="4">
        <v>212</v>
      </c>
      <c r="I295" s="5">
        <f t="shared" si="6"/>
        <v>1037</v>
      </c>
      <c r="K295" s="4" t="s">
        <v>6</v>
      </c>
      <c r="L295" s="5">
        <f>SUM(H290:H297)</f>
        <v>961</v>
      </c>
      <c r="N295" s="9"/>
      <c r="O295" s="5"/>
    </row>
    <row r="296" spans="1:15" ht="15">
      <c r="A296" s="4" t="s">
        <v>647</v>
      </c>
      <c r="B296" s="4" t="s">
        <v>293</v>
      </c>
      <c r="C296" s="4">
        <v>194</v>
      </c>
      <c r="D296" s="4">
        <v>161</v>
      </c>
      <c r="E296" s="4"/>
      <c r="F296" s="4"/>
      <c r="G296" s="4"/>
      <c r="H296" s="4"/>
      <c r="I296" s="5">
        <f t="shared" si="6"/>
        <v>355</v>
      </c>
      <c r="K296" s="5"/>
      <c r="L296" s="5"/>
      <c r="N296" s="9"/>
      <c r="O296" s="5"/>
    </row>
    <row r="297" spans="1:15" ht="15">
      <c r="A297" s="9"/>
      <c r="B297" s="4"/>
      <c r="C297" s="4"/>
      <c r="D297" s="4"/>
      <c r="E297" s="4"/>
      <c r="F297" s="4"/>
      <c r="G297" s="4"/>
      <c r="H297" s="4"/>
      <c r="I297" s="5">
        <f t="shared" si="6"/>
        <v>0</v>
      </c>
      <c r="K297" s="4"/>
      <c r="L297" s="5"/>
      <c r="N297" s="9"/>
      <c r="O297" s="5"/>
    </row>
    <row r="298" spans="1:15" ht="15">
      <c r="A298" s="8" t="s">
        <v>648</v>
      </c>
      <c r="B298" s="8" t="s">
        <v>291</v>
      </c>
      <c r="C298" s="8">
        <v>146</v>
      </c>
      <c r="D298" s="8">
        <v>173</v>
      </c>
      <c r="E298" s="8">
        <v>183</v>
      </c>
      <c r="F298" s="8">
        <v>167</v>
      </c>
      <c r="G298" s="8">
        <v>201</v>
      </c>
      <c r="H298" s="8">
        <v>192</v>
      </c>
      <c r="I298" s="7">
        <f t="shared" si="6"/>
        <v>1062</v>
      </c>
      <c r="K298" s="8" t="s">
        <v>0</v>
      </c>
      <c r="L298" s="7">
        <f>SUM(C298:C305)</f>
        <v>843</v>
      </c>
      <c r="N298" s="6" t="str">
        <f>A298</f>
        <v>University of St Francis-Junior Varsity - IL</v>
      </c>
      <c r="O298" s="7">
        <f>SUM(L298:L303)</f>
        <v>5311</v>
      </c>
    </row>
    <row r="299" spans="1:15" ht="15">
      <c r="A299" s="8" t="s">
        <v>648</v>
      </c>
      <c r="B299" s="8" t="s">
        <v>295</v>
      </c>
      <c r="C299" s="8"/>
      <c r="D299" s="8"/>
      <c r="E299" s="8"/>
      <c r="F299" s="8"/>
      <c r="G299" s="8"/>
      <c r="H299" s="8"/>
      <c r="I299" s="7">
        <f t="shared" si="6"/>
        <v>0</v>
      </c>
      <c r="K299" s="8" t="s">
        <v>1</v>
      </c>
      <c r="L299" s="7">
        <f>SUM(D298:D305)</f>
        <v>805</v>
      </c>
      <c r="N299" s="6"/>
      <c r="O299" s="7"/>
    </row>
    <row r="300" spans="1:15" ht="15">
      <c r="A300" s="8" t="s">
        <v>648</v>
      </c>
      <c r="B300" s="8" t="s">
        <v>296</v>
      </c>
      <c r="C300" s="8"/>
      <c r="D300" s="8"/>
      <c r="E300" s="8">
        <v>210</v>
      </c>
      <c r="F300" s="8">
        <v>226</v>
      </c>
      <c r="G300" s="8">
        <v>186</v>
      </c>
      <c r="H300" s="8">
        <v>203</v>
      </c>
      <c r="I300" s="7">
        <f t="shared" si="6"/>
        <v>825</v>
      </c>
      <c r="K300" s="8" t="s">
        <v>2</v>
      </c>
      <c r="L300" s="7">
        <f>SUM(E298:E305)</f>
        <v>924</v>
      </c>
      <c r="N300" s="6"/>
      <c r="O300" s="7"/>
    </row>
    <row r="301" spans="1:15" ht="15">
      <c r="A301" s="8" t="s">
        <v>648</v>
      </c>
      <c r="B301" s="8" t="s">
        <v>297</v>
      </c>
      <c r="C301" s="8">
        <v>177</v>
      </c>
      <c r="D301" s="8">
        <v>153</v>
      </c>
      <c r="E301" s="8"/>
      <c r="F301" s="8">
        <v>195</v>
      </c>
      <c r="G301" s="8">
        <v>190</v>
      </c>
      <c r="H301" s="8">
        <v>158</v>
      </c>
      <c r="I301" s="7">
        <f t="shared" si="6"/>
        <v>873</v>
      </c>
      <c r="K301" s="8" t="s">
        <v>4</v>
      </c>
      <c r="L301" s="7">
        <f>SUM(F298:F305)</f>
        <v>937</v>
      </c>
      <c r="N301" s="6"/>
      <c r="O301" s="7"/>
    </row>
    <row r="302" spans="1:15" ht="15">
      <c r="A302" s="8" t="s">
        <v>648</v>
      </c>
      <c r="B302" s="8" t="s">
        <v>298</v>
      </c>
      <c r="C302" s="8">
        <v>159</v>
      </c>
      <c r="D302" s="8">
        <v>142</v>
      </c>
      <c r="E302" s="8">
        <v>126</v>
      </c>
      <c r="F302" s="8"/>
      <c r="G302" s="8"/>
      <c r="H302" s="8"/>
      <c r="I302" s="7">
        <f t="shared" si="6"/>
        <v>427</v>
      </c>
      <c r="K302" s="8" t="s">
        <v>5</v>
      </c>
      <c r="L302" s="7">
        <f>SUM(G298:G305)</f>
        <v>899</v>
      </c>
      <c r="N302" s="6"/>
      <c r="O302" s="7"/>
    </row>
    <row r="303" spans="1:15" ht="15">
      <c r="A303" s="8" t="s">
        <v>648</v>
      </c>
      <c r="B303" s="8" t="s">
        <v>299</v>
      </c>
      <c r="C303" s="8"/>
      <c r="D303" s="8"/>
      <c r="E303" s="8"/>
      <c r="F303" s="8"/>
      <c r="G303" s="8"/>
      <c r="H303" s="8">
        <v>187</v>
      </c>
      <c r="I303" s="7">
        <f t="shared" si="6"/>
        <v>187</v>
      </c>
      <c r="K303" s="8" t="s">
        <v>6</v>
      </c>
      <c r="L303" s="7">
        <f>SUM(H298:H305)</f>
        <v>903</v>
      </c>
      <c r="N303" s="6"/>
      <c r="O303" s="7"/>
    </row>
    <row r="304" spans="1:15" ht="15">
      <c r="A304" s="8" t="s">
        <v>648</v>
      </c>
      <c r="B304" s="8" t="s">
        <v>300</v>
      </c>
      <c r="C304" s="8">
        <v>198</v>
      </c>
      <c r="D304" s="8">
        <v>170</v>
      </c>
      <c r="E304" s="8">
        <v>204</v>
      </c>
      <c r="F304" s="8">
        <v>180</v>
      </c>
      <c r="G304" s="8">
        <v>181</v>
      </c>
      <c r="H304" s="8">
        <v>163</v>
      </c>
      <c r="I304" s="7">
        <f t="shared" si="6"/>
        <v>1096</v>
      </c>
      <c r="K304" s="8"/>
      <c r="L304" s="7"/>
      <c r="N304" s="6"/>
      <c r="O304" s="7"/>
    </row>
    <row r="305" spans="1:15" ht="15">
      <c r="A305" s="8" t="s">
        <v>648</v>
      </c>
      <c r="B305" s="8" t="s">
        <v>301</v>
      </c>
      <c r="C305" s="8">
        <v>163</v>
      </c>
      <c r="D305" s="8">
        <v>167</v>
      </c>
      <c r="E305" s="8">
        <v>201</v>
      </c>
      <c r="F305" s="8">
        <v>169</v>
      </c>
      <c r="G305" s="8">
        <v>141</v>
      </c>
      <c r="H305" s="8"/>
      <c r="I305" s="7">
        <f t="shared" si="6"/>
        <v>841</v>
      </c>
      <c r="K305" s="8"/>
      <c r="L305" s="7"/>
      <c r="N305" s="6"/>
      <c r="O305" s="7"/>
    </row>
    <row r="306" spans="1:15" ht="15">
      <c r="A306" s="4" t="s">
        <v>302</v>
      </c>
      <c r="B306" s="4" t="s">
        <v>303</v>
      </c>
      <c r="C306" s="4">
        <v>212</v>
      </c>
      <c r="D306" s="4">
        <v>196</v>
      </c>
      <c r="E306" s="4">
        <v>223</v>
      </c>
      <c r="F306" s="4">
        <v>149</v>
      </c>
      <c r="G306" s="4"/>
      <c r="H306" s="4"/>
      <c r="I306" s="5">
        <f t="shared" si="6"/>
        <v>780</v>
      </c>
      <c r="K306" s="4" t="s">
        <v>0</v>
      </c>
      <c r="L306" s="5">
        <f>SUM(C306:C313)</f>
        <v>1051</v>
      </c>
      <c r="N306" s="9" t="str">
        <f>A306</f>
        <v>Vincennes University-Varsity</v>
      </c>
      <c r="O306" s="5">
        <f>SUM(L306:L311)</f>
        <v>6099</v>
      </c>
    </row>
    <row r="307" spans="1:15" ht="15">
      <c r="A307" s="4" t="s">
        <v>302</v>
      </c>
      <c r="B307" s="4" t="s">
        <v>304</v>
      </c>
      <c r="C307" s="4">
        <v>194</v>
      </c>
      <c r="D307" s="4">
        <v>200</v>
      </c>
      <c r="E307" s="4">
        <v>189</v>
      </c>
      <c r="F307" s="4">
        <v>215</v>
      </c>
      <c r="G307" s="4">
        <v>188</v>
      </c>
      <c r="H307" s="4">
        <v>192</v>
      </c>
      <c r="I307" s="5">
        <f t="shared" si="6"/>
        <v>1178</v>
      </c>
      <c r="K307" s="4" t="s">
        <v>1</v>
      </c>
      <c r="L307" s="5">
        <f>SUM(D306:D313)</f>
        <v>1079</v>
      </c>
      <c r="N307" s="9"/>
      <c r="O307" s="5"/>
    </row>
    <row r="308" spans="1:15" ht="15">
      <c r="A308" s="4" t="s">
        <v>302</v>
      </c>
      <c r="B308" s="4" t="s">
        <v>305</v>
      </c>
      <c r="C308" s="4">
        <v>222</v>
      </c>
      <c r="D308" s="4">
        <v>189</v>
      </c>
      <c r="E308" s="4">
        <v>198</v>
      </c>
      <c r="F308" s="4">
        <v>165</v>
      </c>
      <c r="G308" s="4">
        <v>170</v>
      </c>
      <c r="H308" s="4">
        <v>250</v>
      </c>
      <c r="I308" s="5">
        <f t="shared" si="6"/>
        <v>1194</v>
      </c>
      <c r="K308" s="4" t="s">
        <v>2</v>
      </c>
      <c r="L308" s="5">
        <f>SUM(E306:E313)</f>
        <v>1031</v>
      </c>
      <c r="N308" s="9"/>
      <c r="O308" s="5"/>
    </row>
    <row r="309" spans="1:15" ht="15">
      <c r="A309" s="4" t="s">
        <v>302</v>
      </c>
      <c r="B309" s="4" t="s">
        <v>306</v>
      </c>
      <c r="C309" s="4"/>
      <c r="D309" s="4"/>
      <c r="E309" s="4"/>
      <c r="F309" s="4"/>
      <c r="G309" s="4">
        <v>233</v>
      </c>
      <c r="H309" s="4">
        <v>167</v>
      </c>
      <c r="I309" s="5">
        <f t="shared" si="6"/>
        <v>400</v>
      </c>
      <c r="K309" s="4" t="s">
        <v>4</v>
      </c>
      <c r="L309" s="5">
        <f>SUM(F306:F313)</f>
        <v>918</v>
      </c>
      <c r="N309" s="9"/>
      <c r="O309" s="5"/>
    </row>
    <row r="310" spans="1:15" ht="15">
      <c r="A310" s="4" t="s">
        <v>302</v>
      </c>
      <c r="B310" s="4" t="s">
        <v>307</v>
      </c>
      <c r="C310" s="4">
        <v>205</v>
      </c>
      <c r="D310" s="4">
        <v>246</v>
      </c>
      <c r="E310" s="4">
        <v>211</v>
      </c>
      <c r="F310" s="4">
        <v>209</v>
      </c>
      <c r="G310" s="4">
        <v>163</v>
      </c>
      <c r="H310" s="4">
        <v>202</v>
      </c>
      <c r="I310" s="5">
        <f t="shared" si="6"/>
        <v>1236</v>
      </c>
      <c r="K310" s="4" t="s">
        <v>5</v>
      </c>
      <c r="L310" s="5">
        <f>SUM(G306:G313)</f>
        <v>961</v>
      </c>
      <c r="N310" s="9"/>
      <c r="O310" s="5"/>
    </row>
    <row r="311" spans="1:15" ht="15">
      <c r="A311" s="4" t="s">
        <v>302</v>
      </c>
      <c r="B311" s="4" t="s">
        <v>308</v>
      </c>
      <c r="C311" s="4">
        <v>218</v>
      </c>
      <c r="D311" s="4">
        <v>248</v>
      </c>
      <c r="E311" s="4">
        <v>210</v>
      </c>
      <c r="F311" s="4">
        <v>180</v>
      </c>
      <c r="G311" s="4">
        <v>207</v>
      </c>
      <c r="H311" s="4">
        <v>248</v>
      </c>
      <c r="I311" s="5">
        <f t="shared" si="6"/>
        <v>1311</v>
      </c>
      <c r="K311" s="4" t="s">
        <v>6</v>
      </c>
      <c r="L311" s="5">
        <f>SUM(H306:H313)</f>
        <v>1059</v>
      </c>
      <c r="N311" s="9"/>
      <c r="O311" s="5"/>
    </row>
    <row r="312" spans="1:15" ht="15">
      <c r="A312" s="9"/>
      <c r="B312" s="4"/>
      <c r="C312" s="4"/>
      <c r="D312" s="4"/>
      <c r="E312" s="4"/>
      <c r="F312" s="4"/>
      <c r="G312" s="4"/>
      <c r="H312" s="4"/>
      <c r="I312" s="5">
        <f t="shared" si="6"/>
        <v>0</v>
      </c>
      <c r="K312" s="5"/>
      <c r="L312" s="5"/>
      <c r="N312" s="9"/>
      <c r="O312" s="5"/>
    </row>
    <row r="313" spans="1:15" ht="15">
      <c r="A313" s="9"/>
      <c r="B313" s="4"/>
      <c r="C313" s="4"/>
      <c r="D313" s="4"/>
      <c r="E313" s="4"/>
      <c r="F313" s="4"/>
      <c r="G313" s="4"/>
      <c r="H313" s="4"/>
      <c r="I313" s="5">
        <f t="shared" si="6"/>
        <v>0</v>
      </c>
      <c r="K313" s="4"/>
      <c r="L313" s="5"/>
      <c r="N313" s="9"/>
      <c r="O313" s="5"/>
    </row>
    <row r="314" spans="1:15" ht="15">
      <c r="A314" s="8" t="s">
        <v>309</v>
      </c>
      <c r="B314" s="8" t="s">
        <v>310</v>
      </c>
      <c r="C314" s="8">
        <v>0</v>
      </c>
      <c r="D314" s="8">
        <v>140</v>
      </c>
      <c r="E314" s="8"/>
      <c r="F314" s="8">
        <v>162</v>
      </c>
      <c r="G314" s="8"/>
      <c r="H314" s="8">
        <v>158</v>
      </c>
      <c r="I314" s="7">
        <f t="shared" si="6"/>
        <v>460</v>
      </c>
      <c r="K314" s="8" t="s">
        <v>0</v>
      </c>
      <c r="L314" s="7">
        <f>SUM(C314:C321)</f>
        <v>930</v>
      </c>
      <c r="N314" s="6" t="str">
        <f>A314</f>
        <v>Vincennes University-Junior Varsity</v>
      </c>
      <c r="O314" s="7">
        <f>SUM(L314:L319)</f>
        <v>5361</v>
      </c>
    </row>
    <row r="315" spans="1:15" ht="15">
      <c r="A315" s="8" t="s">
        <v>309</v>
      </c>
      <c r="B315" s="8" t="s">
        <v>311</v>
      </c>
      <c r="C315" s="8">
        <v>210</v>
      </c>
      <c r="D315" s="8">
        <v>199</v>
      </c>
      <c r="E315" s="8">
        <v>186</v>
      </c>
      <c r="F315" s="8">
        <v>183</v>
      </c>
      <c r="G315" s="8">
        <v>257</v>
      </c>
      <c r="H315" s="8">
        <v>165</v>
      </c>
      <c r="I315" s="7">
        <f t="shared" si="6"/>
        <v>1200</v>
      </c>
      <c r="K315" s="8" t="s">
        <v>1</v>
      </c>
      <c r="L315" s="7">
        <f>SUM(D314:D321)</f>
        <v>875</v>
      </c>
      <c r="N315" s="6"/>
      <c r="O315" s="7"/>
    </row>
    <row r="316" spans="1:15" ht="15">
      <c r="A316" s="8" t="s">
        <v>309</v>
      </c>
      <c r="B316" s="8" t="s">
        <v>312</v>
      </c>
      <c r="C316" s="8">
        <v>175</v>
      </c>
      <c r="D316" s="8"/>
      <c r="E316" s="8">
        <v>171</v>
      </c>
      <c r="F316" s="8">
        <v>193</v>
      </c>
      <c r="G316" s="8">
        <v>164</v>
      </c>
      <c r="H316" s="8">
        <v>210</v>
      </c>
      <c r="I316" s="7">
        <f t="shared" si="6"/>
        <v>913</v>
      </c>
      <c r="K316" s="8" t="s">
        <v>2</v>
      </c>
      <c r="L316" s="7">
        <f>SUM(E314:E321)</f>
        <v>833</v>
      </c>
      <c r="N316" s="6"/>
      <c r="O316" s="7"/>
    </row>
    <row r="317" spans="1:15" ht="15">
      <c r="A317" s="8" t="s">
        <v>309</v>
      </c>
      <c r="B317" s="8" t="s">
        <v>313</v>
      </c>
      <c r="C317" s="8">
        <v>181</v>
      </c>
      <c r="D317" s="8">
        <v>175</v>
      </c>
      <c r="E317" s="8">
        <v>185</v>
      </c>
      <c r="F317" s="8">
        <v>178</v>
      </c>
      <c r="G317" s="8">
        <v>159</v>
      </c>
      <c r="H317" s="8"/>
      <c r="I317" s="7">
        <f t="shared" si="6"/>
        <v>878</v>
      </c>
      <c r="K317" s="8" t="s">
        <v>4</v>
      </c>
      <c r="L317" s="7">
        <f>SUM(F314:F321)</f>
        <v>927</v>
      </c>
      <c r="N317" s="6"/>
      <c r="O317" s="7"/>
    </row>
    <row r="318" spans="1:15" ht="15">
      <c r="A318" s="8" t="s">
        <v>309</v>
      </c>
      <c r="B318" s="8" t="s">
        <v>314</v>
      </c>
      <c r="C318" s="8">
        <v>185</v>
      </c>
      <c r="D318" s="8">
        <v>182</v>
      </c>
      <c r="E318" s="8">
        <v>177</v>
      </c>
      <c r="F318" s="8">
        <v>211</v>
      </c>
      <c r="G318" s="8">
        <v>201</v>
      </c>
      <c r="H318" s="8">
        <v>154</v>
      </c>
      <c r="I318" s="7">
        <f t="shared" si="6"/>
        <v>1110</v>
      </c>
      <c r="K318" s="8" t="s">
        <v>5</v>
      </c>
      <c r="L318" s="7">
        <f>SUM(G314:G321)</f>
        <v>982</v>
      </c>
      <c r="N318" s="6"/>
      <c r="O318" s="7"/>
    </row>
    <row r="319" spans="1:15" ht="15">
      <c r="A319" s="8" t="s">
        <v>309</v>
      </c>
      <c r="B319" s="8" t="s">
        <v>315</v>
      </c>
      <c r="C319" s="8">
        <v>179</v>
      </c>
      <c r="D319" s="8">
        <v>179</v>
      </c>
      <c r="E319" s="8">
        <v>114</v>
      </c>
      <c r="F319" s="8"/>
      <c r="G319" s="8">
        <v>201</v>
      </c>
      <c r="H319" s="8">
        <v>127</v>
      </c>
      <c r="I319" s="7">
        <f t="shared" si="6"/>
        <v>800</v>
      </c>
      <c r="K319" s="8" t="s">
        <v>6</v>
      </c>
      <c r="L319" s="7">
        <f>SUM(H314:H321)</f>
        <v>814</v>
      </c>
      <c r="N319" s="6"/>
      <c r="O319" s="7"/>
    </row>
    <row r="320" spans="1:15" ht="15">
      <c r="A320" s="8"/>
      <c r="B320" s="8"/>
      <c r="C320" s="8"/>
      <c r="D320" s="8"/>
      <c r="E320" s="8"/>
      <c r="F320" s="8"/>
      <c r="G320" s="8"/>
      <c r="H320" s="8"/>
      <c r="I320" s="7">
        <f t="shared" si="6"/>
        <v>0</v>
      </c>
      <c r="K320" s="8"/>
      <c r="L320" s="7"/>
      <c r="N320" s="6"/>
      <c r="O320" s="7"/>
    </row>
    <row r="321" spans="1:15" ht="15">
      <c r="A321" s="8"/>
      <c r="B321" s="8"/>
      <c r="C321" s="8"/>
      <c r="D321" s="8"/>
      <c r="E321" s="8"/>
      <c r="F321" s="8"/>
      <c r="G321" s="8"/>
      <c r="H321" s="8"/>
      <c r="I321" s="7">
        <f t="shared" si="6"/>
        <v>0</v>
      </c>
      <c r="K321" s="8"/>
      <c r="L321" s="7"/>
      <c r="N321" s="6"/>
      <c r="O321" s="7"/>
    </row>
    <row r="322" spans="1:15" ht="15">
      <c r="A322" s="4" t="s">
        <v>316</v>
      </c>
      <c r="B322" s="4" t="s">
        <v>317</v>
      </c>
      <c r="C322" s="4">
        <v>226</v>
      </c>
      <c r="D322" s="4">
        <v>203</v>
      </c>
      <c r="E322" s="4">
        <v>188</v>
      </c>
      <c r="F322" s="4">
        <v>268</v>
      </c>
      <c r="G322" s="4">
        <v>214</v>
      </c>
      <c r="H322" s="4">
        <v>188</v>
      </c>
      <c r="I322" s="5">
        <f t="shared" si="6"/>
        <v>1287</v>
      </c>
      <c r="K322" s="4" t="s">
        <v>0</v>
      </c>
      <c r="L322" s="5">
        <f>SUM(C322:C329)</f>
        <v>972</v>
      </c>
      <c r="N322" s="9" t="str">
        <f>A322</f>
        <v>William Penn University-Varsity</v>
      </c>
      <c r="O322" s="5">
        <f>SUM(L322:L327)</f>
        <v>5703</v>
      </c>
    </row>
    <row r="323" spans="1:15" ht="15">
      <c r="A323" s="4" t="s">
        <v>316</v>
      </c>
      <c r="B323" s="4" t="s">
        <v>318</v>
      </c>
      <c r="C323" s="4">
        <v>231</v>
      </c>
      <c r="D323" s="4">
        <v>139</v>
      </c>
      <c r="E323" s="4"/>
      <c r="F323" s="4"/>
      <c r="G323" s="4"/>
      <c r="H323" s="4"/>
      <c r="I323" s="5">
        <f t="shared" si="6"/>
        <v>370</v>
      </c>
      <c r="K323" s="4" t="s">
        <v>1</v>
      </c>
      <c r="L323" s="5">
        <f>SUM(D322:D329)</f>
        <v>900</v>
      </c>
      <c r="N323" s="9"/>
      <c r="O323" s="5"/>
    </row>
    <row r="324" spans="1:15" ht="15">
      <c r="A324" s="4" t="s">
        <v>316</v>
      </c>
      <c r="B324" s="4" t="s">
        <v>319</v>
      </c>
      <c r="C324" s="4"/>
      <c r="D324" s="4"/>
      <c r="E324" s="4">
        <v>180</v>
      </c>
      <c r="F324" s="4">
        <v>202</v>
      </c>
      <c r="G324" s="4">
        <v>154</v>
      </c>
      <c r="H324" s="4">
        <v>181</v>
      </c>
      <c r="I324" s="5">
        <f t="shared" si="6"/>
        <v>717</v>
      </c>
      <c r="K324" s="4" t="s">
        <v>2</v>
      </c>
      <c r="L324" s="5">
        <f>SUM(E322:E329)</f>
        <v>993</v>
      </c>
      <c r="N324" s="9"/>
      <c r="O324" s="5"/>
    </row>
    <row r="325" spans="1:15" ht="15">
      <c r="A325" s="4" t="s">
        <v>316</v>
      </c>
      <c r="B325" s="4" t="s">
        <v>320</v>
      </c>
      <c r="C325" s="4">
        <v>167</v>
      </c>
      <c r="D325" s="4">
        <v>194</v>
      </c>
      <c r="E325" s="4">
        <v>201</v>
      </c>
      <c r="F325" s="4">
        <v>184</v>
      </c>
      <c r="G325" s="4">
        <v>162</v>
      </c>
      <c r="H325" s="4">
        <v>221</v>
      </c>
      <c r="I325" s="5">
        <f t="shared" si="6"/>
        <v>1129</v>
      </c>
      <c r="K325" s="4" t="s">
        <v>4</v>
      </c>
      <c r="L325" s="5">
        <f>SUM(F322:F329)</f>
        <v>995</v>
      </c>
      <c r="N325" s="9"/>
      <c r="O325" s="5"/>
    </row>
    <row r="326" spans="1:15" ht="15">
      <c r="A326" s="4" t="s">
        <v>316</v>
      </c>
      <c r="B326" s="4" t="s">
        <v>321</v>
      </c>
      <c r="C326" s="4">
        <v>179</v>
      </c>
      <c r="D326" s="4">
        <v>189</v>
      </c>
      <c r="E326" s="4">
        <v>180</v>
      </c>
      <c r="F326" s="4">
        <v>150</v>
      </c>
      <c r="G326" s="4"/>
      <c r="H326" s="4"/>
      <c r="I326" s="5">
        <f t="shared" si="6"/>
        <v>698</v>
      </c>
      <c r="K326" s="4" t="s">
        <v>5</v>
      </c>
      <c r="L326" s="5">
        <f>SUM(G322:G329)</f>
        <v>884</v>
      </c>
      <c r="N326" s="9"/>
      <c r="O326" s="5"/>
    </row>
    <row r="327" spans="1:15" ht="15">
      <c r="A327" s="4" t="s">
        <v>316</v>
      </c>
      <c r="B327" s="4" t="s">
        <v>322</v>
      </c>
      <c r="C327" s="4">
        <v>169</v>
      </c>
      <c r="D327" s="4">
        <v>175</v>
      </c>
      <c r="E327" s="4"/>
      <c r="F327" s="4"/>
      <c r="G327" s="4"/>
      <c r="H327" s="4"/>
      <c r="I327" s="5">
        <f t="shared" si="6"/>
        <v>344</v>
      </c>
      <c r="K327" s="4" t="s">
        <v>6</v>
      </c>
      <c r="L327" s="5">
        <f>SUM(H322:H329)</f>
        <v>959</v>
      </c>
      <c r="N327" s="9"/>
      <c r="O327" s="5"/>
    </row>
    <row r="328" spans="1:15" ht="15">
      <c r="A328" s="4" t="s">
        <v>316</v>
      </c>
      <c r="B328" s="4" t="s">
        <v>323</v>
      </c>
      <c r="C328" s="4"/>
      <c r="D328" s="4"/>
      <c r="E328" s="4"/>
      <c r="F328" s="4"/>
      <c r="G328" s="4">
        <v>175</v>
      </c>
      <c r="H328" s="4">
        <v>168</v>
      </c>
      <c r="I328" s="5">
        <f t="shared" si="6"/>
        <v>343</v>
      </c>
      <c r="K328" s="5"/>
      <c r="L328" s="5"/>
      <c r="N328" s="9"/>
      <c r="O328" s="5"/>
    </row>
    <row r="329" spans="1:15" ht="15">
      <c r="A329" s="4" t="s">
        <v>316</v>
      </c>
      <c r="B329" s="4" t="s">
        <v>324</v>
      </c>
      <c r="C329" s="4"/>
      <c r="D329" s="4"/>
      <c r="E329" s="4">
        <v>244</v>
      </c>
      <c r="F329" s="4">
        <v>191</v>
      </c>
      <c r="G329" s="4">
        <v>179</v>
      </c>
      <c r="H329" s="4">
        <v>201</v>
      </c>
      <c r="I329" s="5">
        <f t="shared" si="6"/>
        <v>815</v>
      </c>
      <c r="K329" s="4"/>
      <c r="L329" s="5"/>
      <c r="N329" s="9"/>
      <c r="O329" s="5"/>
    </row>
    <row r="330" spans="1:15" ht="15">
      <c r="A330" s="8" t="s">
        <v>325</v>
      </c>
      <c r="B330" s="8" t="s">
        <v>326</v>
      </c>
      <c r="C330" s="8">
        <v>168</v>
      </c>
      <c r="D330" s="8">
        <v>202</v>
      </c>
      <c r="E330" s="8">
        <v>164</v>
      </c>
      <c r="F330" s="8">
        <v>219</v>
      </c>
      <c r="G330" s="8">
        <v>187</v>
      </c>
      <c r="H330" s="8">
        <v>257</v>
      </c>
      <c r="I330" s="7">
        <f t="shared" si="6"/>
        <v>1197</v>
      </c>
      <c r="K330" s="8" t="s">
        <v>0</v>
      </c>
      <c r="L330" s="7">
        <f>SUM(C330:C337)</f>
        <v>773</v>
      </c>
      <c r="N330" s="6" t="str">
        <f>A330</f>
        <v>William Penn University-Junior Varsity</v>
      </c>
      <c r="O330" s="7">
        <f>SUM(L330:L335)</f>
        <v>5152</v>
      </c>
    </row>
    <row r="331" spans="1:15" ht="15">
      <c r="A331" s="8" t="s">
        <v>325</v>
      </c>
      <c r="B331" s="8" t="s">
        <v>327</v>
      </c>
      <c r="C331" s="8">
        <v>140</v>
      </c>
      <c r="D331" s="8">
        <v>158</v>
      </c>
      <c r="E331" s="8"/>
      <c r="F331" s="8"/>
      <c r="G331" s="8">
        <v>110</v>
      </c>
      <c r="H331" s="8"/>
      <c r="I331" s="7">
        <f t="shared" si="6"/>
        <v>408</v>
      </c>
      <c r="K331" s="8" t="s">
        <v>1</v>
      </c>
      <c r="L331" s="7">
        <f>SUM(D330:D337)</f>
        <v>896</v>
      </c>
      <c r="N331" s="6"/>
      <c r="O331" s="7"/>
    </row>
    <row r="332" spans="1:15" ht="15">
      <c r="A332" s="8" t="s">
        <v>325</v>
      </c>
      <c r="B332" s="8" t="s">
        <v>328</v>
      </c>
      <c r="C332" s="8">
        <v>147</v>
      </c>
      <c r="D332" s="8">
        <v>205</v>
      </c>
      <c r="E332" s="8">
        <v>151</v>
      </c>
      <c r="F332" s="8">
        <v>204</v>
      </c>
      <c r="G332" s="8">
        <v>180</v>
      </c>
      <c r="H332" s="8">
        <v>252</v>
      </c>
      <c r="I332" s="7">
        <f t="shared" si="6"/>
        <v>1139</v>
      </c>
      <c r="K332" s="8" t="s">
        <v>2</v>
      </c>
      <c r="L332" s="7">
        <f>SUM(E330:E337)</f>
        <v>808</v>
      </c>
      <c r="N332" s="6"/>
      <c r="O332" s="7"/>
    </row>
    <row r="333" spans="1:15" ht="15">
      <c r="A333" s="8" t="s">
        <v>325</v>
      </c>
      <c r="B333" s="8" t="s">
        <v>329</v>
      </c>
      <c r="C333" s="8">
        <v>143</v>
      </c>
      <c r="D333" s="8">
        <v>199</v>
      </c>
      <c r="E333" s="8">
        <v>161</v>
      </c>
      <c r="F333" s="8">
        <v>151</v>
      </c>
      <c r="G333" s="8">
        <v>132</v>
      </c>
      <c r="H333" s="8"/>
      <c r="I333" s="7">
        <f t="shared" si="6"/>
        <v>786</v>
      </c>
      <c r="K333" s="8" t="s">
        <v>4</v>
      </c>
      <c r="L333" s="7">
        <f>SUM(F330:F337)</f>
        <v>867</v>
      </c>
      <c r="N333" s="6"/>
      <c r="O333" s="7"/>
    </row>
    <row r="334" spans="1:15" ht="15">
      <c r="A334" s="8" t="s">
        <v>325</v>
      </c>
      <c r="B334" s="8" t="s">
        <v>330</v>
      </c>
      <c r="C334" s="8">
        <v>175</v>
      </c>
      <c r="D334" s="8">
        <v>132</v>
      </c>
      <c r="E334" s="8"/>
      <c r="F334" s="8"/>
      <c r="G334" s="8"/>
      <c r="H334" s="8"/>
      <c r="I334" s="7">
        <f t="shared" si="6"/>
        <v>307</v>
      </c>
      <c r="K334" s="8" t="s">
        <v>5</v>
      </c>
      <c r="L334" s="7">
        <f>SUM(G330:G337)</f>
        <v>754</v>
      </c>
      <c r="N334" s="6"/>
      <c r="O334" s="7"/>
    </row>
    <row r="335" spans="1:15" ht="15">
      <c r="A335" s="8" t="s">
        <v>325</v>
      </c>
      <c r="B335" s="8" t="s">
        <v>331</v>
      </c>
      <c r="C335" s="8"/>
      <c r="D335" s="8"/>
      <c r="E335" s="8">
        <v>129</v>
      </c>
      <c r="F335" s="8"/>
      <c r="G335" s="8"/>
      <c r="H335" s="8">
        <v>186</v>
      </c>
      <c r="I335" s="7">
        <f t="shared" si="6"/>
        <v>315</v>
      </c>
      <c r="K335" s="8" t="s">
        <v>6</v>
      </c>
      <c r="L335" s="7">
        <f>SUM(H330:H337)</f>
        <v>1054</v>
      </c>
      <c r="N335" s="6"/>
      <c r="O335" s="7"/>
    </row>
    <row r="336" spans="1:15" ht="15">
      <c r="A336" s="8" t="s">
        <v>325</v>
      </c>
      <c r="B336" s="8" t="s">
        <v>609</v>
      </c>
      <c r="C336" s="8"/>
      <c r="D336" s="8"/>
      <c r="E336" s="8">
        <v>203</v>
      </c>
      <c r="F336" s="8">
        <v>162</v>
      </c>
      <c r="G336" s="8">
        <v>145</v>
      </c>
      <c r="H336" s="8">
        <v>193</v>
      </c>
      <c r="I336" s="7">
        <f t="shared" si="6"/>
        <v>703</v>
      </c>
      <c r="K336" s="8"/>
      <c r="L336" s="7"/>
      <c r="N336" s="6"/>
      <c r="O336" s="7"/>
    </row>
    <row r="337" spans="1:15" ht="15">
      <c r="A337" s="8" t="s">
        <v>325</v>
      </c>
      <c r="B337" s="8" t="s">
        <v>611</v>
      </c>
      <c r="C337" s="8"/>
      <c r="D337" s="8"/>
      <c r="E337" s="8"/>
      <c r="F337" s="8">
        <v>131</v>
      </c>
      <c r="G337" s="8"/>
      <c r="H337" s="8">
        <v>166</v>
      </c>
      <c r="I337" s="7">
        <f t="shared" si="6"/>
        <v>297</v>
      </c>
      <c r="K337" s="8"/>
      <c r="L337" s="7"/>
      <c r="N337" s="6"/>
      <c r="O337" s="7"/>
    </row>
    <row r="338" spans="1:15" ht="15">
      <c r="A338" s="4" t="s">
        <v>657</v>
      </c>
      <c r="B338" s="4" t="s">
        <v>588</v>
      </c>
      <c r="C338" s="4"/>
      <c r="D338" s="4">
        <v>158</v>
      </c>
      <c r="E338" s="4"/>
      <c r="F338" s="4"/>
      <c r="G338" s="4">
        <v>183</v>
      </c>
      <c r="H338" s="4">
        <v>139</v>
      </c>
      <c r="I338" s="5">
        <f t="shared" si="6"/>
        <v>480</v>
      </c>
      <c r="K338" s="4" t="s">
        <v>0</v>
      </c>
      <c r="L338" s="5">
        <f>SUM(C338:C345)</f>
        <v>927</v>
      </c>
      <c r="N338" s="9" t="str">
        <f>A338</f>
        <v>Lindenwood University Belleville - Junior Varsity</v>
      </c>
      <c r="O338" s="5">
        <f>SUM(L338:L343)</f>
        <v>5449</v>
      </c>
    </row>
    <row r="339" spans="1:15" ht="15">
      <c r="A339" s="4" t="s">
        <v>657</v>
      </c>
      <c r="B339" s="4" t="s">
        <v>589</v>
      </c>
      <c r="C339" s="4">
        <v>147</v>
      </c>
      <c r="D339" s="4"/>
      <c r="E339" s="4"/>
      <c r="F339" s="4"/>
      <c r="G339" s="4"/>
      <c r="H339" s="4"/>
      <c r="I339" s="5">
        <f t="shared" si="6"/>
        <v>147</v>
      </c>
      <c r="K339" s="4" t="s">
        <v>1</v>
      </c>
      <c r="L339" s="5">
        <f>SUM(D338:D345)</f>
        <v>916</v>
      </c>
      <c r="N339" s="9"/>
      <c r="O339" s="5"/>
    </row>
    <row r="340" spans="1:15" ht="15">
      <c r="A340" s="4" t="s">
        <v>657</v>
      </c>
      <c r="B340" s="4" t="s">
        <v>590</v>
      </c>
      <c r="C340" s="4">
        <v>191</v>
      </c>
      <c r="D340" s="4">
        <v>169</v>
      </c>
      <c r="E340" s="4">
        <v>193</v>
      </c>
      <c r="F340" s="4">
        <v>155</v>
      </c>
      <c r="G340" s="4">
        <v>214</v>
      </c>
      <c r="H340" s="4">
        <v>198</v>
      </c>
      <c r="I340" s="5">
        <f t="shared" si="6"/>
        <v>1120</v>
      </c>
      <c r="K340" s="4" t="s">
        <v>2</v>
      </c>
      <c r="L340" s="5">
        <f>SUM(E338:E345)</f>
        <v>919</v>
      </c>
      <c r="N340" s="9"/>
      <c r="O340" s="5"/>
    </row>
    <row r="341" spans="1:15" ht="15">
      <c r="A341" s="4" t="s">
        <v>657</v>
      </c>
      <c r="B341" s="4" t="s">
        <v>591</v>
      </c>
      <c r="C341" s="4">
        <v>198</v>
      </c>
      <c r="D341" s="4">
        <v>198</v>
      </c>
      <c r="E341" s="4">
        <v>153</v>
      </c>
      <c r="F341" s="4"/>
      <c r="G341" s="4"/>
      <c r="H341" s="4"/>
      <c r="I341" s="5">
        <f t="shared" si="6"/>
        <v>549</v>
      </c>
      <c r="K341" s="4" t="s">
        <v>4</v>
      </c>
      <c r="L341" s="5">
        <f>SUM(F338:F345)</f>
        <v>838</v>
      </c>
      <c r="N341" s="9"/>
      <c r="O341" s="5"/>
    </row>
    <row r="342" spans="1:15" ht="15">
      <c r="A342" s="4" t="s">
        <v>657</v>
      </c>
      <c r="B342" s="4" t="s">
        <v>592</v>
      </c>
      <c r="C342" s="4"/>
      <c r="D342" s="4"/>
      <c r="E342" s="4">
        <v>199</v>
      </c>
      <c r="F342" s="4">
        <v>151</v>
      </c>
      <c r="G342" s="4"/>
      <c r="H342" s="4"/>
      <c r="I342" s="5">
        <f t="shared" si="6"/>
        <v>350</v>
      </c>
      <c r="K342" s="4" t="s">
        <v>5</v>
      </c>
      <c r="L342" s="5">
        <f>SUM(G338:G345)</f>
        <v>937</v>
      </c>
      <c r="N342" s="9"/>
      <c r="O342" s="5"/>
    </row>
    <row r="343" spans="1:15" ht="15">
      <c r="A343" s="4" t="s">
        <v>657</v>
      </c>
      <c r="B343" s="4" t="s">
        <v>593</v>
      </c>
      <c r="C343" s="4"/>
      <c r="D343" s="4"/>
      <c r="E343" s="4"/>
      <c r="F343" s="4">
        <v>172</v>
      </c>
      <c r="G343" s="4">
        <v>189</v>
      </c>
      <c r="H343" s="4">
        <v>188</v>
      </c>
      <c r="I343" s="5">
        <f t="shared" si="6"/>
        <v>549</v>
      </c>
      <c r="K343" s="4" t="s">
        <v>6</v>
      </c>
      <c r="L343" s="5">
        <f>SUM(H338:H345)</f>
        <v>912</v>
      </c>
      <c r="N343" s="9"/>
      <c r="O343" s="5"/>
    </row>
    <row r="344" spans="1:15" ht="15">
      <c r="A344" s="4" t="s">
        <v>657</v>
      </c>
      <c r="B344" s="4" t="s">
        <v>594</v>
      </c>
      <c r="C344" s="4">
        <v>177</v>
      </c>
      <c r="D344" s="4">
        <v>198</v>
      </c>
      <c r="E344" s="4">
        <v>198</v>
      </c>
      <c r="F344" s="4">
        <v>178</v>
      </c>
      <c r="G344" s="4">
        <v>160</v>
      </c>
      <c r="H344" s="4">
        <v>216</v>
      </c>
      <c r="I344" s="5">
        <f t="shared" si="6"/>
        <v>1127</v>
      </c>
      <c r="K344" s="5"/>
      <c r="L344" s="5"/>
      <c r="N344" s="9"/>
      <c r="O344" s="5"/>
    </row>
    <row r="345" spans="1:15" ht="15">
      <c r="A345" s="4" t="s">
        <v>657</v>
      </c>
      <c r="B345" s="4" t="s">
        <v>595</v>
      </c>
      <c r="C345" s="4">
        <v>214</v>
      </c>
      <c r="D345" s="4">
        <v>193</v>
      </c>
      <c r="E345" s="4">
        <v>176</v>
      </c>
      <c r="F345" s="4">
        <v>182</v>
      </c>
      <c r="G345" s="4">
        <v>191</v>
      </c>
      <c r="H345" s="4">
        <v>171</v>
      </c>
      <c r="I345" s="5">
        <f t="shared" si="6"/>
        <v>1127</v>
      </c>
      <c r="K345" s="4"/>
      <c r="L345" s="5"/>
      <c r="N345" s="9"/>
      <c r="O345" s="5"/>
    </row>
    <row r="346" spans="1:15" ht="15">
      <c r="A346" s="8" t="s">
        <v>656</v>
      </c>
      <c r="B346" s="8" t="s">
        <v>596</v>
      </c>
      <c r="C346" s="8"/>
      <c r="D346" s="8">
        <v>171</v>
      </c>
      <c r="E346" s="8">
        <v>176</v>
      </c>
      <c r="F346" s="8"/>
      <c r="G346" s="8"/>
      <c r="H346" s="8"/>
      <c r="I346" s="7">
        <f aca="true" t="shared" si="7" ref="I346:I409">SUM(C346:H346)</f>
        <v>347</v>
      </c>
      <c r="K346" s="8" t="s">
        <v>0</v>
      </c>
      <c r="L346" s="7">
        <f>SUM(C346:C353)</f>
        <v>872</v>
      </c>
      <c r="N346" s="6" t="str">
        <f>A346</f>
        <v>Lindenwood University Belleville - Varsity</v>
      </c>
      <c r="O346" s="7">
        <f>SUM(L346:L351)</f>
        <v>5757</v>
      </c>
    </row>
    <row r="347" spans="1:15" ht="15">
      <c r="A347" s="8" t="s">
        <v>656</v>
      </c>
      <c r="B347" s="8" t="s">
        <v>597</v>
      </c>
      <c r="C347" s="8"/>
      <c r="D347" s="8"/>
      <c r="E347" s="8"/>
      <c r="F347" s="8"/>
      <c r="G347" s="8"/>
      <c r="H347" s="8"/>
      <c r="I347" s="7">
        <f t="shared" si="7"/>
        <v>0</v>
      </c>
      <c r="K347" s="8" t="s">
        <v>1</v>
      </c>
      <c r="L347" s="7">
        <f>SUM(D346:D353)</f>
        <v>850</v>
      </c>
      <c r="N347" s="6"/>
      <c r="O347" s="7"/>
    </row>
    <row r="348" spans="1:15" ht="15">
      <c r="A348" s="8" t="s">
        <v>656</v>
      </c>
      <c r="B348" s="8" t="s">
        <v>598</v>
      </c>
      <c r="C348" s="8">
        <v>188</v>
      </c>
      <c r="D348" s="8">
        <v>147</v>
      </c>
      <c r="E348" s="8">
        <v>204</v>
      </c>
      <c r="F348" s="8">
        <v>195</v>
      </c>
      <c r="G348" s="8">
        <v>257</v>
      </c>
      <c r="H348" s="8">
        <v>202</v>
      </c>
      <c r="I348" s="7">
        <f t="shared" si="7"/>
        <v>1193</v>
      </c>
      <c r="K348" s="8" t="s">
        <v>2</v>
      </c>
      <c r="L348" s="7">
        <f>SUM(E346:E353)</f>
        <v>947</v>
      </c>
      <c r="N348" s="6"/>
      <c r="O348" s="7"/>
    </row>
    <row r="349" spans="1:15" ht="15">
      <c r="A349" s="8" t="s">
        <v>656</v>
      </c>
      <c r="B349" s="8" t="s">
        <v>599</v>
      </c>
      <c r="C349" s="8">
        <v>195</v>
      </c>
      <c r="D349" s="8">
        <v>203</v>
      </c>
      <c r="E349" s="8">
        <v>185</v>
      </c>
      <c r="F349" s="8">
        <v>196</v>
      </c>
      <c r="G349" s="8">
        <v>194</v>
      </c>
      <c r="H349" s="8">
        <v>186</v>
      </c>
      <c r="I349" s="7">
        <f t="shared" si="7"/>
        <v>1159</v>
      </c>
      <c r="K349" s="8" t="s">
        <v>4</v>
      </c>
      <c r="L349" s="7">
        <f>SUM(F346:F353)</f>
        <v>980</v>
      </c>
      <c r="N349" s="6"/>
      <c r="O349" s="7"/>
    </row>
    <row r="350" spans="1:15" ht="15">
      <c r="A350" s="8" t="s">
        <v>656</v>
      </c>
      <c r="B350" s="8" t="s">
        <v>600</v>
      </c>
      <c r="C350" s="8">
        <v>164</v>
      </c>
      <c r="D350" s="8">
        <v>152</v>
      </c>
      <c r="E350" s="8"/>
      <c r="F350" s="8"/>
      <c r="G350" s="8"/>
      <c r="H350" s="8"/>
      <c r="I350" s="7">
        <f t="shared" si="7"/>
        <v>316</v>
      </c>
      <c r="K350" s="8" t="s">
        <v>5</v>
      </c>
      <c r="L350" s="7">
        <f>SUM(G346:G353)</f>
        <v>1106</v>
      </c>
      <c r="N350" s="6"/>
      <c r="O350" s="7"/>
    </row>
    <row r="351" spans="1:15" ht="15">
      <c r="A351" s="8" t="s">
        <v>656</v>
      </c>
      <c r="B351" s="8" t="s">
        <v>601</v>
      </c>
      <c r="C351" s="8"/>
      <c r="D351" s="8"/>
      <c r="E351" s="8"/>
      <c r="F351" s="8">
        <v>177</v>
      </c>
      <c r="G351" s="8">
        <v>178</v>
      </c>
      <c r="H351" s="8">
        <v>259</v>
      </c>
      <c r="I351" s="7">
        <f t="shared" si="7"/>
        <v>614</v>
      </c>
      <c r="K351" s="8" t="s">
        <v>6</v>
      </c>
      <c r="L351" s="7">
        <f>SUM(H346:H353)</f>
        <v>1002</v>
      </c>
      <c r="N351" s="6"/>
      <c r="O351" s="7"/>
    </row>
    <row r="352" spans="1:15" ht="15">
      <c r="A352" s="8" t="s">
        <v>656</v>
      </c>
      <c r="B352" s="8" t="s">
        <v>602</v>
      </c>
      <c r="C352" s="8">
        <v>140</v>
      </c>
      <c r="D352" s="8"/>
      <c r="E352" s="8">
        <v>192</v>
      </c>
      <c r="F352" s="8">
        <v>201</v>
      </c>
      <c r="G352" s="8">
        <v>245</v>
      </c>
      <c r="H352" s="8">
        <v>169</v>
      </c>
      <c r="I352" s="7">
        <f t="shared" si="7"/>
        <v>947</v>
      </c>
      <c r="K352" s="8"/>
      <c r="L352" s="7"/>
      <c r="N352" s="6"/>
      <c r="O352" s="7"/>
    </row>
    <row r="353" spans="1:15" ht="15">
      <c r="A353" s="8" t="s">
        <v>656</v>
      </c>
      <c r="B353" s="8" t="s">
        <v>603</v>
      </c>
      <c r="C353" s="8">
        <v>185</v>
      </c>
      <c r="D353" s="8">
        <v>177</v>
      </c>
      <c r="E353" s="8">
        <v>190</v>
      </c>
      <c r="F353" s="8">
        <v>211</v>
      </c>
      <c r="G353" s="8">
        <v>232</v>
      </c>
      <c r="H353" s="8">
        <v>186</v>
      </c>
      <c r="I353" s="7">
        <f t="shared" si="7"/>
        <v>1181</v>
      </c>
      <c r="K353" s="8"/>
      <c r="L353" s="7"/>
      <c r="N353" s="6"/>
      <c r="O353" s="7"/>
    </row>
    <row r="354" spans="1:15" ht="15">
      <c r="A354" s="4"/>
      <c r="B354" s="4"/>
      <c r="C354" s="4"/>
      <c r="D354" s="4"/>
      <c r="E354" s="4"/>
      <c r="F354" s="4"/>
      <c r="G354" s="4"/>
      <c r="H354" s="4"/>
      <c r="I354" s="5">
        <f t="shared" si="7"/>
        <v>0</v>
      </c>
      <c r="K354" s="4" t="s">
        <v>0</v>
      </c>
      <c r="L354" s="5">
        <f>SUM(C354:C361)</f>
        <v>0</v>
      </c>
      <c r="N354" s="9">
        <f>A354</f>
        <v>0</v>
      </c>
      <c r="O354" s="5">
        <f>SUM(L354:L359)</f>
        <v>0</v>
      </c>
    </row>
    <row r="355" spans="1:15" ht="15">
      <c r="A355" s="9"/>
      <c r="B355" s="4"/>
      <c r="C355" s="4"/>
      <c r="D355" s="4"/>
      <c r="E355" s="4"/>
      <c r="F355" s="4"/>
      <c r="G355" s="4"/>
      <c r="H355" s="4"/>
      <c r="I355" s="5">
        <f t="shared" si="7"/>
        <v>0</v>
      </c>
      <c r="K355" s="4" t="s">
        <v>1</v>
      </c>
      <c r="L355" s="5">
        <f>SUM(D354:D361)</f>
        <v>0</v>
      </c>
      <c r="N355" s="9"/>
      <c r="O355" s="5"/>
    </row>
    <row r="356" spans="1:15" ht="15">
      <c r="A356" s="9"/>
      <c r="B356" s="4"/>
      <c r="C356" s="4"/>
      <c r="D356" s="4"/>
      <c r="E356" s="4"/>
      <c r="F356" s="4"/>
      <c r="G356" s="4"/>
      <c r="H356" s="4"/>
      <c r="I356" s="5">
        <f t="shared" si="7"/>
        <v>0</v>
      </c>
      <c r="K356" s="4" t="s">
        <v>2</v>
      </c>
      <c r="L356" s="5">
        <f>SUM(E354:E361)</f>
        <v>0</v>
      </c>
      <c r="N356" s="9"/>
      <c r="O356" s="5"/>
    </row>
    <row r="357" spans="1:15" ht="15">
      <c r="A357" s="9"/>
      <c r="B357" s="4"/>
      <c r="C357" s="4"/>
      <c r="D357" s="4"/>
      <c r="E357" s="4"/>
      <c r="F357" s="4"/>
      <c r="G357" s="4"/>
      <c r="H357" s="4"/>
      <c r="I357" s="5">
        <f t="shared" si="7"/>
        <v>0</v>
      </c>
      <c r="K357" s="4" t="s">
        <v>4</v>
      </c>
      <c r="L357" s="5">
        <f>SUM(F354:F361)</f>
        <v>0</v>
      </c>
      <c r="N357" s="9"/>
      <c r="O357" s="5"/>
    </row>
    <row r="358" spans="1:15" ht="15">
      <c r="A358" s="9"/>
      <c r="B358" s="4"/>
      <c r="C358" s="4"/>
      <c r="D358" s="4"/>
      <c r="E358" s="4"/>
      <c r="F358" s="4"/>
      <c r="G358" s="4"/>
      <c r="H358" s="4"/>
      <c r="I358" s="5">
        <f t="shared" si="7"/>
        <v>0</v>
      </c>
      <c r="K358" s="4" t="s">
        <v>5</v>
      </c>
      <c r="L358" s="5">
        <f>SUM(G354:G361)</f>
        <v>0</v>
      </c>
      <c r="N358" s="9"/>
      <c r="O358" s="5"/>
    </row>
    <row r="359" spans="1:15" ht="15">
      <c r="A359" s="9"/>
      <c r="B359" s="4"/>
      <c r="C359" s="4"/>
      <c r="D359" s="4"/>
      <c r="E359" s="4"/>
      <c r="F359" s="4"/>
      <c r="G359" s="4"/>
      <c r="H359" s="4"/>
      <c r="I359" s="5">
        <f t="shared" si="7"/>
        <v>0</v>
      </c>
      <c r="K359" s="4" t="s">
        <v>6</v>
      </c>
      <c r="L359" s="5">
        <f>SUM(H354:H361)</f>
        <v>0</v>
      </c>
      <c r="N359" s="9"/>
      <c r="O359" s="5"/>
    </row>
    <row r="360" spans="1:15" ht="15">
      <c r="A360" s="9"/>
      <c r="B360" s="4"/>
      <c r="C360" s="4"/>
      <c r="D360" s="4"/>
      <c r="E360" s="4"/>
      <c r="F360" s="4"/>
      <c r="G360" s="4"/>
      <c r="H360" s="4"/>
      <c r="I360" s="5">
        <f t="shared" si="7"/>
        <v>0</v>
      </c>
      <c r="K360" s="5"/>
      <c r="L360" s="5"/>
      <c r="N360" s="9"/>
      <c r="O360" s="5"/>
    </row>
    <row r="361" spans="1:15" ht="15">
      <c r="A361" s="9"/>
      <c r="B361" s="4"/>
      <c r="C361" s="4"/>
      <c r="D361" s="4"/>
      <c r="E361" s="4"/>
      <c r="F361" s="4"/>
      <c r="G361" s="4"/>
      <c r="H361" s="4"/>
      <c r="I361" s="5">
        <f t="shared" si="7"/>
        <v>0</v>
      </c>
      <c r="K361" s="4"/>
      <c r="L361" s="5"/>
      <c r="N361" s="9"/>
      <c r="O361" s="5"/>
    </row>
    <row r="362" spans="1:15" ht="15">
      <c r="A362" s="8"/>
      <c r="B362" s="8"/>
      <c r="C362" s="8"/>
      <c r="D362" s="8"/>
      <c r="E362" s="8"/>
      <c r="F362" s="8"/>
      <c r="G362" s="8"/>
      <c r="H362" s="8"/>
      <c r="I362" s="7">
        <f t="shared" si="7"/>
        <v>0</v>
      </c>
      <c r="K362" s="8" t="s">
        <v>0</v>
      </c>
      <c r="L362" s="7">
        <f>SUM(C362:C369)</f>
        <v>0</v>
      </c>
      <c r="N362" s="6">
        <f>A362</f>
        <v>0</v>
      </c>
      <c r="O362" s="7">
        <f>SUM(L362:L367)</f>
        <v>0</v>
      </c>
    </row>
    <row r="363" spans="1:15" ht="15">
      <c r="A363" s="8"/>
      <c r="B363" s="8"/>
      <c r="C363" s="8"/>
      <c r="D363" s="8"/>
      <c r="E363" s="8"/>
      <c r="F363" s="8"/>
      <c r="G363" s="8"/>
      <c r="H363" s="8"/>
      <c r="I363" s="7">
        <f t="shared" si="7"/>
        <v>0</v>
      </c>
      <c r="K363" s="8" t="s">
        <v>1</v>
      </c>
      <c r="L363" s="7">
        <f>SUM(D362:D369)</f>
        <v>0</v>
      </c>
      <c r="N363" s="6"/>
      <c r="O363" s="7"/>
    </row>
    <row r="364" spans="1:15" ht="15">
      <c r="A364" s="8"/>
      <c r="B364" s="8"/>
      <c r="C364" s="8"/>
      <c r="D364" s="8"/>
      <c r="E364" s="8"/>
      <c r="F364" s="8"/>
      <c r="G364" s="8"/>
      <c r="H364" s="8"/>
      <c r="I364" s="7">
        <f t="shared" si="7"/>
        <v>0</v>
      </c>
      <c r="K364" s="8" t="s">
        <v>2</v>
      </c>
      <c r="L364" s="7">
        <f>SUM(E362:E369)</f>
        <v>0</v>
      </c>
      <c r="N364" s="6"/>
      <c r="O364" s="7"/>
    </row>
    <row r="365" spans="1:15" ht="15">
      <c r="A365" s="8"/>
      <c r="B365" s="8"/>
      <c r="C365" s="8"/>
      <c r="D365" s="8"/>
      <c r="E365" s="8"/>
      <c r="F365" s="8"/>
      <c r="G365" s="8"/>
      <c r="H365" s="8"/>
      <c r="I365" s="7">
        <f t="shared" si="7"/>
        <v>0</v>
      </c>
      <c r="K365" s="8" t="s">
        <v>4</v>
      </c>
      <c r="L365" s="7">
        <f>SUM(F362:F369)</f>
        <v>0</v>
      </c>
      <c r="N365" s="6"/>
      <c r="O365" s="7"/>
    </row>
    <row r="366" spans="1:15" ht="15">
      <c r="A366" s="8"/>
      <c r="B366" s="8"/>
      <c r="C366" s="8"/>
      <c r="D366" s="8"/>
      <c r="E366" s="8"/>
      <c r="F366" s="8"/>
      <c r="G366" s="8"/>
      <c r="H366" s="8"/>
      <c r="I366" s="7">
        <f t="shared" si="7"/>
        <v>0</v>
      </c>
      <c r="K366" s="8" t="s">
        <v>5</v>
      </c>
      <c r="L366" s="7">
        <f>SUM(G362:G369)</f>
        <v>0</v>
      </c>
      <c r="N366" s="6"/>
      <c r="O366" s="7"/>
    </row>
    <row r="367" spans="1:15" ht="15">
      <c r="A367" s="8"/>
      <c r="B367" s="8"/>
      <c r="C367" s="8"/>
      <c r="D367" s="8"/>
      <c r="E367" s="8"/>
      <c r="F367" s="8"/>
      <c r="G367" s="8"/>
      <c r="H367" s="8"/>
      <c r="I367" s="7">
        <f t="shared" si="7"/>
        <v>0</v>
      </c>
      <c r="K367" s="8" t="s">
        <v>6</v>
      </c>
      <c r="L367" s="7">
        <f>SUM(H362:H369)</f>
        <v>0</v>
      </c>
      <c r="N367" s="6"/>
      <c r="O367" s="7"/>
    </row>
    <row r="368" spans="1:15" ht="15">
      <c r="A368" s="8"/>
      <c r="B368" s="8"/>
      <c r="C368" s="8"/>
      <c r="D368" s="8"/>
      <c r="E368" s="8"/>
      <c r="F368" s="8"/>
      <c r="G368" s="8"/>
      <c r="H368" s="8"/>
      <c r="I368" s="7">
        <f t="shared" si="7"/>
        <v>0</v>
      </c>
      <c r="K368" s="8"/>
      <c r="L368" s="7"/>
      <c r="N368" s="6"/>
      <c r="O368" s="7"/>
    </row>
    <row r="369" spans="1:15" ht="15">
      <c r="A369" s="8"/>
      <c r="B369" s="8"/>
      <c r="C369" s="8"/>
      <c r="D369" s="8"/>
      <c r="E369" s="8"/>
      <c r="F369" s="8"/>
      <c r="G369" s="8"/>
      <c r="H369" s="8"/>
      <c r="I369" s="7">
        <f t="shared" si="7"/>
        <v>0</v>
      </c>
      <c r="K369" s="8"/>
      <c r="L369" s="7"/>
      <c r="N369" s="6"/>
      <c r="O369" s="7"/>
    </row>
    <row r="370" spans="1:15" ht="15">
      <c r="A370" s="4"/>
      <c r="B370" s="4"/>
      <c r="C370" s="4"/>
      <c r="D370" s="4"/>
      <c r="E370" s="4"/>
      <c r="F370" s="4"/>
      <c r="G370" s="4"/>
      <c r="H370" s="4"/>
      <c r="I370" s="5">
        <f t="shared" si="7"/>
        <v>0</v>
      </c>
      <c r="K370" s="4" t="s">
        <v>0</v>
      </c>
      <c r="L370" s="5">
        <f>SUM(C370:C377)</f>
        <v>0</v>
      </c>
      <c r="N370" s="9">
        <f>A370</f>
        <v>0</v>
      </c>
      <c r="O370" s="5">
        <f>SUM(L370:L375)</f>
        <v>0</v>
      </c>
    </row>
    <row r="371" spans="1:15" ht="15">
      <c r="A371" s="9"/>
      <c r="B371" s="4"/>
      <c r="C371" s="4"/>
      <c r="D371" s="4"/>
      <c r="E371" s="4"/>
      <c r="F371" s="4"/>
      <c r="G371" s="4"/>
      <c r="H371" s="4"/>
      <c r="I371" s="5">
        <f t="shared" si="7"/>
        <v>0</v>
      </c>
      <c r="K371" s="4" t="s">
        <v>1</v>
      </c>
      <c r="L371" s="5">
        <f>SUM(D370:D377)</f>
        <v>0</v>
      </c>
      <c r="N371" s="9"/>
      <c r="O371" s="5"/>
    </row>
    <row r="372" spans="1:15" ht="15">
      <c r="A372" s="9"/>
      <c r="B372" s="4"/>
      <c r="C372" s="4"/>
      <c r="D372" s="4"/>
      <c r="E372" s="4"/>
      <c r="F372" s="4"/>
      <c r="G372" s="4"/>
      <c r="H372" s="4"/>
      <c r="I372" s="5">
        <f t="shared" si="7"/>
        <v>0</v>
      </c>
      <c r="K372" s="4" t="s">
        <v>2</v>
      </c>
      <c r="L372" s="5">
        <f>SUM(E370:E377)</f>
        <v>0</v>
      </c>
      <c r="N372" s="9"/>
      <c r="O372" s="5"/>
    </row>
    <row r="373" spans="1:15" ht="15">
      <c r="A373" s="9"/>
      <c r="B373" s="4"/>
      <c r="C373" s="4"/>
      <c r="D373" s="4"/>
      <c r="E373" s="4"/>
      <c r="F373" s="4"/>
      <c r="G373" s="4"/>
      <c r="H373" s="4"/>
      <c r="I373" s="5">
        <f t="shared" si="7"/>
        <v>0</v>
      </c>
      <c r="K373" s="4" t="s">
        <v>4</v>
      </c>
      <c r="L373" s="5">
        <f>SUM(F370:F377)</f>
        <v>0</v>
      </c>
      <c r="N373" s="9"/>
      <c r="O373" s="5"/>
    </row>
    <row r="374" spans="1:15" ht="15">
      <c r="A374" s="9"/>
      <c r="B374" s="4"/>
      <c r="C374" s="4"/>
      <c r="D374" s="4"/>
      <c r="E374" s="4"/>
      <c r="F374" s="4"/>
      <c r="G374" s="4"/>
      <c r="H374" s="4"/>
      <c r="I374" s="5">
        <f t="shared" si="7"/>
        <v>0</v>
      </c>
      <c r="K374" s="4" t="s">
        <v>5</v>
      </c>
      <c r="L374" s="5">
        <f>SUM(G370:G377)</f>
        <v>0</v>
      </c>
      <c r="N374" s="9"/>
      <c r="O374" s="5"/>
    </row>
    <row r="375" spans="1:15" ht="15">
      <c r="A375" s="9"/>
      <c r="B375" s="4"/>
      <c r="C375" s="4"/>
      <c r="D375" s="4"/>
      <c r="E375" s="4"/>
      <c r="F375" s="4"/>
      <c r="G375" s="4"/>
      <c r="H375" s="4"/>
      <c r="I375" s="5">
        <f t="shared" si="7"/>
        <v>0</v>
      </c>
      <c r="K375" s="4" t="s">
        <v>6</v>
      </c>
      <c r="L375" s="5">
        <f>SUM(H370:H377)</f>
        <v>0</v>
      </c>
      <c r="N375" s="9"/>
      <c r="O375" s="5"/>
    </row>
    <row r="376" spans="1:15" ht="15">
      <c r="A376" s="9"/>
      <c r="B376" s="4"/>
      <c r="C376" s="4"/>
      <c r="D376" s="4"/>
      <c r="E376" s="4"/>
      <c r="F376" s="4"/>
      <c r="G376" s="4"/>
      <c r="H376" s="4"/>
      <c r="I376" s="5">
        <f t="shared" si="7"/>
        <v>0</v>
      </c>
      <c r="K376" s="5"/>
      <c r="L376" s="5"/>
      <c r="N376" s="9"/>
      <c r="O376" s="5"/>
    </row>
    <row r="377" spans="1:15" ht="15">
      <c r="A377" s="9"/>
      <c r="B377" s="4"/>
      <c r="C377" s="4"/>
      <c r="D377" s="4"/>
      <c r="E377" s="4"/>
      <c r="F377" s="4"/>
      <c r="G377" s="4"/>
      <c r="H377" s="4"/>
      <c r="I377" s="5">
        <f t="shared" si="7"/>
        <v>0</v>
      </c>
      <c r="K377" s="4"/>
      <c r="L377" s="5"/>
      <c r="N377" s="9"/>
      <c r="O377" s="5"/>
    </row>
    <row r="378" spans="1:15" ht="15">
      <c r="A378" s="8"/>
      <c r="B378" s="8"/>
      <c r="C378" s="8"/>
      <c r="D378" s="8"/>
      <c r="E378" s="8"/>
      <c r="F378" s="8"/>
      <c r="G378" s="8"/>
      <c r="H378" s="8"/>
      <c r="I378" s="7">
        <f t="shared" si="7"/>
        <v>0</v>
      </c>
      <c r="K378" s="8" t="s">
        <v>0</v>
      </c>
      <c r="L378" s="7">
        <f>SUM(C378:C385)</f>
        <v>0</v>
      </c>
      <c r="N378" s="6">
        <f>A378</f>
        <v>0</v>
      </c>
      <c r="O378" s="7">
        <f>SUM(L378:L383)</f>
        <v>0</v>
      </c>
    </row>
    <row r="379" spans="1:15" ht="15">
      <c r="A379" s="8"/>
      <c r="B379" s="8"/>
      <c r="C379" s="8"/>
      <c r="D379" s="8"/>
      <c r="E379" s="8"/>
      <c r="F379" s="8"/>
      <c r="G379" s="8"/>
      <c r="H379" s="8"/>
      <c r="I379" s="7">
        <f t="shared" si="7"/>
        <v>0</v>
      </c>
      <c r="K379" s="8" t="s">
        <v>1</v>
      </c>
      <c r="L379" s="7">
        <f>SUM(D378:D385)</f>
        <v>0</v>
      </c>
      <c r="N379" s="6"/>
      <c r="O379" s="7"/>
    </row>
    <row r="380" spans="1:15" ht="15">
      <c r="A380" s="8"/>
      <c r="B380" s="8"/>
      <c r="C380" s="8"/>
      <c r="D380" s="8"/>
      <c r="E380" s="8"/>
      <c r="F380" s="8"/>
      <c r="G380" s="8"/>
      <c r="H380" s="8"/>
      <c r="I380" s="7">
        <f t="shared" si="7"/>
        <v>0</v>
      </c>
      <c r="K380" s="8" t="s">
        <v>2</v>
      </c>
      <c r="L380" s="7">
        <f>SUM(E378:E385)</f>
        <v>0</v>
      </c>
      <c r="N380" s="6"/>
      <c r="O380" s="7"/>
    </row>
    <row r="381" spans="1:15" ht="15">
      <c r="A381" s="8"/>
      <c r="B381" s="8"/>
      <c r="C381" s="8"/>
      <c r="D381" s="8"/>
      <c r="E381" s="8"/>
      <c r="F381" s="8"/>
      <c r="G381" s="8"/>
      <c r="H381" s="8"/>
      <c r="I381" s="7">
        <f t="shared" si="7"/>
        <v>0</v>
      </c>
      <c r="K381" s="8" t="s">
        <v>4</v>
      </c>
      <c r="L381" s="7">
        <f>SUM(F378:F385)</f>
        <v>0</v>
      </c>
      <c r="N381" s="6"/>
      <c r="O381" s="7"/>
    </row>
    <row r="382" spans="1:15" ht="15">
      <c r="A382" s="8"/>
      <c r="B382" s="8"/>
      <c r="C382" s="8"/>
      <c r="D382" s="8"/>
      <c r="E382" s="8"/>
      <c r="F382" s="8"/>
      <c r="G382" s="8"/>
      <c r="H382" s="8"/>
      <c r="I382" s="7">
        <f t="shared" si="7"/>
        <v>0</v>
      </c>
      <c r="K382" s="8" t="s">
        <v>5</v>
      </c>
      <c r="L382" s="7">
        <f>SUM(G378:G385)</f>
        <v>0</v>
      </c>
      <c r="N382" s="6"/>
      <c r="O382" s="7"/>
    </row>
    <row r="383" spans="1:15" ht="15">
      <c r="A383" s="8"/>
      <c r="B383" s="8"/>
      <c r="C383" s="8"/>
      <c r="D383" s="8"/>
      <c r="E383" s="8"/>
      <c r="F383" s="8"/>
      <c r="G383" s="8"/>
      <c r="H383" s="8"/>
      <c r="I383" s="7">
        <f t="shared" si="7"/>
        <v>0</v>
      </c>
      <c r="K383" s="8" t="s">
        <v>6</v>
      </c>
      <c r="L383" s="7">
        <f>SUM(H378:H385)</f>
        <v>0</v>
      </c>
      <c r="N383" s="6"/>
      <c r="O383" s="7"/>
    </row>
    <row r="384" spans="1:15" ht="15">
      <c r="A384" s="8"/>
      <c r="B384" s="8"/>
      <c r="C384" s="8"/>
      <c r="D384" s="8"/>
      <c r="E384" s="8"/>
      <c r="F384" s="8"/>
      <c r="G384" s="8"/>
      <c r="H384" s="8"/>
      <c r="I384" s="7">
        <f t="shared" si="7"/>
        <v>0</v>
      </c>
      <c r="K384" s="8"/>
      <c r="L384" s="7"/>
      <c r="N384" s="6"/>
      <c r="O384" s="7"/>
    </row>
    <row r="385" spans="1:15" ht="15">
      <c r="A385" s="8"/>
      <c r="B385" s="8"/>
      <c r="C385" s="8"/>
      <c r="D385" s="8"/>
      <c r="E385" s="8"/>
      <c r="F385" s="8"/>
      <c r="G385" s="8"/>
      <c r="H385" s="8"/>
      <c r="I385" s="7">
        <f t="shared" si="7"/>
        <v>0</v>
      </c>
      <c r="K385" s="8"/>
      <c r="L385" s="7"/>
      <c r="N385" s="6"/>
      <c r="O385" s="7"/>
    </row>
    <row r="386" spans="1:15" ht="15">
      <c r="A386" s="4"/>
      <c r="B386" s="4"/>
      <c r="C386" s="4"/>
      <c r="D386" s="4"/>
      <c r="E386" s="4"/>
      <c r="F386" s="4"/>
      <c r="G386" s="4"/>
      <c r="H386" s="4"/>
      <c r="I386" s="5">
        <f t="shared" si="7"/>
        <v>0</v>
      </c>
      <c r="K386" s="4" t="s">
        <v>0</v>
      </c>
      <c r="L386" s="5">
        <f>SUM(C386:C393)</f>
        <v>0</v>
      </c>
      <c r="N386" s="9">
        <f>A386</f>
        <v>0</v>
      </c>
      <c r="O386" s="5">
        <f>SUM(L386:L391)</f>
        <v>0</v>
      </c>
    </row>
    <row r="387" spans="1:15" ht="15">
      <c r="A387" s="9"/>
      <c r="B387" s="4"/>
      <c r="C387" s="4"/>
      <c r="D387" s="4"/>
      <c r="E387" s="4"/>
      <c r="F387" s="4"/>
      <c r="G387" s="4"/>
      <c r="H387" s="4"/>
      <c r="I387" s="5">
        <f t="shared" si="7"/>
        <v>0</v>
      </c>
      <c r="K387" s="4" t="s">
        <v>1</v>
      </c>
      <c r="L387" s="5">
        <f>SUM(D386:D393)</f>
        <v>0</v>
      </c>
      <c r="N387" s="9"/>
      <c r="O387" s="5"/>
    </row>
    <row r="388" spans="1:15" ht="15">
      <c r="A388" s="9"/>
      <c r="B388" s="4"/>
      <c r="C388" s="4"/>
      <c r="D388" s="4"/>
      <c r="E388" s="4"/>
      <c r="F388" s="4"/>
      <c r="G388" s="4"/>
      <c r="H388" s="4"/>
      <c r="I388" s="5">
        <f t="shared" si="7"/>
        <v>0</v>
      </c>
      <c r="K388" s="4" t="s">
        <v>2</v>
      </c>
      <c r="L388" s="5">
        <f>SUM(E386:E393)</f>
        <v>0</v>
      </c>
      <c r="N388" s="9"/>
      <c r="O388" s="5"/>
    </row>
    <row r="389" spans="1:15" ht="15">
      <c r="A389" s="9"/>
      <c r="B389" s="4"/>
      <c r="C389" s="4"/>
      <c r="D389" s="4"/>
      <c r="E389" s="4"/>
      <c r="F389" s="4"/>
      <c r="G389" s="4"/>
      <c r="H389" s="4"/>
      <c r="I389" s="5">
        <f t="shared" si="7"/>
        <v>0</v>
      </c>
      <c r="K389" s="4" t="s">
        <v>4</v>
      </c>
      <c r="L389" s="5">
        <f>SUM(F386:F393)</f>
        <v>0</v>
      </c>
      <c r="N389" s="9"/>
      <c r="O389" s="5"/>
    </row>
    <row r="390" spans="1:15" ht="15">
      <c r="A390" s="9"/>
      <c r="B390" s="4"/>
      <c r="C390" s="4"/>
      <c r="D390" s="4"/>
      <c r="E390" s="4"/>
      <c r="F390" s="4"/>
      <c r="G390" s="4"/>
      <c r="H390" s="4"/>
      <c r="I390" s="5">
        <f t="shared" si="7"/>
        <v>0</v>
      </c>
      <c r="K390" s="4" t="s">
        <v>5</v>
      </c>
      <c r="L390" s="5">
        <f>SUM(G386:G393)</f>
        <v>0</v>
      </c>
      <c r="N390" s="9"/>
      <c r="O390" s="5"/>
    </row>
    <row r="391" spans="1:15" ht="15">
      <c r="A391" s="9"/>
      <c r="B391" s="4"/>
      <c r="C391" s="4"/>
      <c r="D391" s="4"/>
      <c r="E391" s="4"/>
      <c r="F391" s="4"/>
      <c r="G391" s="4"/>
      <c r="H391" s="4"/>
      <c r="I391" s="5">
        <f t="shared" si="7"/>
        <v>0</v>
      </c>
      <c r="K391" s="4" t="s">
        <v>6</v>
      </c>
      <c r="L391" s="5">
        <f>SUM(H386:H393)</f>
        <v>0</v>
      </c>
      <c r="N391" s="9"/>
      <c r="O391" s="5"/>
    </row>
    <row r="392" spans="1:15" ht="15">
      <c r="A392" s="9"/>
      <c r="B392" s="4"/>
      <c r="C392" s="4"/>
      <c r="D392" s="4"/>
      <c r="E392" s="4"/>
      <c r="F392" s="4"/>
      <c r="G392" s="4"/>
      <c r="H392" s="4"/>
      <c r="I392" s="5">
        <f t="shared" si="7"/>
        <v>0</v>
      </c>
      <c r="K392" s="5"/>
      <c r="L392" s="5"/>
      <c r="N392" s="9"/>
      <c r="O392" s="5"/>
    </row>
    <row r="393" spans="1:15" ht="15">
      <c r="A393" s="9"/>
      <c r="B393" s="4"/>
      <c r="C393" s="4"/>
      <c r="D393" s="4"/>
      <c r="E393" s="4"/>
      <c r="F393" s="4"/>
      <c r="G393" s="4"/>
      <c r="H393" s="4"/>
      <c r="I393" s="5">
        <f t="shared" si="7"/>
        <v>0</v>
      </c>
      <c r="K393" s="4"/>
      <c r="L393" s="5"/>
      <c r="N393" s="9"/>
      <c r="O393" s="5"/>
    </row>
    <row r="394" spans="1:15" ht="15">
      <c r="A394" s="8"/>
      <c r="B394" s="8"/>
      <c r="C394" s="8"/>
      <c r="D394" s="8"/>
      <c r="E394" s="8"/>
      <c r="F394" s="8"/>
      <c r="G394" s="8"/>
      <c r="H394" s="8"/>
      <c r="I394" s="7">
        <f t="shared" si="7"/>
        <v>0</v>
      </c>
      <c r="K394" s="8" t="s">
        <v>0</v>
      </c>
      <c r="L394" s="7">
        <f>SUM(C394:C401)</f>
        <v>0</v>
      </c>
      <c r="N394" s="6">
        <f>A394</f>
        <v>0</v>
      </c>
      <c r="O394" s="7">
        <f>SUM(L394:L399)</f>
        <v>0</v>
      </c>
    </row>
    <row r="395" spans="1:15" ht="15">
      <c r="A395" s="8"/>
      <c r="B395" s="8"/>
      <c r="C395" s="8"/>
      <c r="D395" s="8"/>
      <c r="E395" s="8"/>
      <c r="F395" s="8"/>
      <c r="G395" s="8"/>
      <c r="H395" s="8"/>
      <c r="I395" s="7">
        <f t="shared" si="7"/>
        <v>0</v>
      </c>
      <c r="K395" s="8" t="s">
        <v>1</v>
      </c>
      <c r="L395" s="7">
        <f>SUM(D394:D401)</f>
        <v>0</v>
      </c>
      <c r="N395" s="6"/>
      <c r="O395" s="7"/>
    </row>
    <row r="396" spans="1:15" ht="15">
      <c r="A396" s="8"/>
      <c r="B396" s="8"/>
      <c r="C396" s="8"/>
      <c r="D396" s="8"/>
      <c r="E396" s="8"/>
      <c r="F396" s="8"/>
      <c r="G396" s="8"/>
      <c r="H396" s="8"/>
      <c r="I396" s="7">
        <f t="shared" si="7"/>
        <v>0</v>
      </c>
      <c r="K396" s="8" t="s">
        <v>2</v>
      </c>
      <c r="L396" s="7">
        <f>SUM(E394:E401)</f>
        <v>0</v>
      </c>
      <c r="N396" s="6"/>
      <c r="O396" s="7"/>
    </row>
    <row r="397" spans="1:15" ht="15">
      <c r="A397" s="8"/>
      <c r="B397" s="8"/>
      <c r="C397" s="8"/>
      <c r="D397" s="8"/>
      <c r="E397" s="8"/>
      <c r="F397" s="8"/>
      <c r="G397" s="8"/>
      <c r="H397" s="8"/>
      <c r="I397" s="7">
        <f t="shared" si="7"/>
        <v>0</v>
      </c>
      <c r="K397" s="8" t="s">
        <v>4</v>
      </c>
      <c r="L397" s="7">
        <f>SUM(F394:F401)</f>
        <v>0</v>
      </c>
      <c r="N397" s="6"/>
      <c r="O397" s="7"/>
    </row>
    <row r="398" spans="1:15" ht="15">
      <c r="A398" s="8"/>
      <c r="B398" s="8"/>
      <c r="C398" s="8"/>
      <c r="D398" s="8"/>
      <c r="E398" s="8"/>
      <c r="F398" s="8"/>
      <c r="G398" s="8"/>
      <c r="H398" s="8"/>
      <c r="I398" s="7">
        <f t="shared" si="7"/>
        <v>0</v>
      </c>
      <c r="K398" s="8" t="s">
        <v>5</v>
      </c>
      <c r="L398" s="7">
        <f>SUM(G394:G401)</f>
        <v>0</v>
      </c>
      <c r="N398" s="6"/>
      <c r="O398" s="7"/>
    </row>
    <row r="399" spans="1:15" ht="15">
      <c r="A399" s="8"/>
      <c r="B399" s="8"/>
      <c r="C399" s="8"/>
      <c r="D399" s="8"/>
      <c r="E399" s="8"/>
      <c r="F399" s="8"/>
      <c r="G399" s="8"/>
      <c r="H399" s="8"/>
      <c r="I399" s="7">
        <f t="shared" si="7"/>
        <v>0</v>
      </c>
      <c r="K399" s="8" t="s">
        <v>6</v>
      </c>
      <c r="L399" s="7">
        <f>SUM(H394:H401)</f>
        <v>0</v>
      </c>
      <c r="N399" s="6"/>
      <c r="O399" s="7"/>
    </row>
    <row r="400" spans="1:15" ht="15">
      <c r="A400" s="8"/>
      <c r="B400" s="8"/>
      <c r="C400" s="8"/>
      <c r="D400" s="8"/>
      <c r="E400" s="8"/>
      <c r="F400" s="8"/>
      <c r="G400" s="8"/>
      <c r="H400" s="8"/>
      <c r="I400" s="7">
        <f t="shared" si="7"/>
        <v>0</v>
      </c>
      <c r="K400" s="8"/>
      <c r="L400" s="7"/>
      <c r="N400" s="6"/>
      <c r="O400" s="7"/>
    </row>
    <row r="401" spans="1:15" ht="15">
      <c r="A401" s="8"/>
      <c r="B401" s="8"/>
      <c r="C401" s="8"/>
      <c r="D401" s="8"/>
      <c r="E401" s="8"/>
      <c r="F401" s="8"/>
      <c r="G401" s="8"/>
      <c r="H401" s="8"/>
      <c r="I401" s="7">
        <f t="shared" si="7"/>
        <v>0</v>
      </c>
      <c r="K401" s="8"/>
      <c r="L401" s="7"/>
      <c r="N401" s="6"/>
      <c r="O401" s="7"/>
    </row>
    <row r="402" spans="1:15" ht="15">
      <c r="A402" s="4"/>
      <c r="B402" s="4"/>
      <c r="C402" s="4"/>
      <c r="D402" s="4"/>
      <c r="E402" s="4"/>
      <c r="F402" s="4"/>
      <c r="G402" s="4"/>
      <c r="H402" s="4"/>
      <c r="I402" s="5">
        <f t="shared" si="7"/>
        <v>0</v>
      </c>
      <c r="K402" s="4" t="s">
        <v>0</v>
      </c>
      <c r="L402" s="5">
        <f>SUM(C402:C409)</f>
        <v>0</v>
      </c>
      <c r="N402" s="9">
        <f>A402</f>
        <v>0</v>
      </c>
      <c r="O402" s="5">
        <f>SUM(L402:L407)</f>
        <v>0</v>
      </c>
    </row>
    <row r="403" spans="1:15" ht="15">
      <c r="A403" s="9"/>
      <c r="B403" s="4"/>
      <c r="C403" s="4"/>
      <c r="D403" s="4"/>
      <c r="E403" s="4"/>
      <c r="F403" s="4"/>
      <c r="G403" s="4"/>
      <c r="H403" s="4"/>
      <c r="I403" s="5">
        <f t="shared" si="7"/>
        <v>0</v>
      </c>
      <c r="K403" s="4" t="s">
        <v>1</v>
      </c>
      <c r="L403" s="5">
        <f>SUM(D402:D409)</f>
        <v>0</v>
      </c>
      <c r="N403" s="9"/>
      <c r="O403" s="5"/>
    </row>
    <row r="404" spans="1:15" ht="15">
      <c r="A404" s="9"/>
      <c r="B404" s="4"/>
      <c r="C404" s="4"/>
      <c r="D404" s="4"/>
      <c r="E404" s="4"/>
      <c r="F404" s="4"/>
      <c r="G404" s="4"/>
      <c r="H404" s="4"/>
      <c r="I404" s="5">
        <f t="shared" si="7"/>
        <v>0</v>
      </c>
      <c r="K404" s="4" t="s">
        <v>2</v>
      </c>
      <c r="L404" s="5">
        <f>SUM(E402:E409)</f>
        <v>0</v>
      </c>
      <c r="N404" s="9"/>
      <c r="O404" s="5"/>
    </row>
    <row r="405" spans="1:15" ht="15">
      <c r="A405" s="9"/>
      <c r="B405" s="4"/>
      <c r="C405" s="4"/>
      <c r="D405" s="4"/>
      <c r="E405" s="4"/>
      <c r="F405" s="4"/>
      <c r="G405" s="4"/>
      <c r="H405" s="4"/>
      <c r="I405" s="5">
        <f t="shared" si="7"/>
        <v>0</v>
      </c>
      <c r="K405" s="4" t="s">
        <v>4</v>
      </c>
      <c r="L405" s="5">
        <f>SUM(F402:F409)</f>
        <v>0</v>
      </c>
      <c r="N405" s="9"/>
      <c r="O405" s="5"/>
    </row>
    <row r="406" spans="1:15" ht="15">
      <c r="A406" s="9"/>
      <c r="B406" s="4"/>
      <c r="C406" s="4"/>
      <c r="D406" s="4"/>
      <c r="E406" s="4"/>
      <c r="F406" s="4"/>
      <c r="G406" s="4"/>
      <c r="H406" s="4"/>
      <c r="I406" s="5">
        <f t="shared" si="7"/>
        <v>0</v>
      </c>
      <c r="K406" s="4" t="s">
        <v>5</v>
      </c>
      <c r="L406" s="5">
        <f>SUM(G402:G409)</f>
        <v>0</v>
      </c>
      <c r="N406" s="9"/>
      <c r="O406" s="5"/>
    </row>
    <row r="407" spans="1:15" ht="15">
      <c r="A407" s="9"/>
      <c r="B407" s="4"/>
      <c r="C407" s="4"/>
      <c r="D407" s="4"/>
      <c r="E407" s="4"/>
      <c r="F407" s="4"/>
      <c r="G407" s="4"/>
      <c r="H407" s="4"/>
      <c r="I407" s="5">
        <f t="shared" si="7"/>
        <v>0</v>
      </c>
      <c r="K407" s="4" t="s">
        <v>6</v>
      </c>
      <c r="L407" s="5">
        <f>SUM(H402:H409)</f>
        <v>0</v>
      </c>
      <c r="N407" s="9"/>
      <c r="O407" s="5"/>
    </row>
    <row r="408" spans="1:15" ht="15">
      <c r="A408" s="9"/>
      <c r="B408" s="4"/>
      <c r="C408" s="4"/>
      <c r="D408" s="4"/>
      <c r="E408" s="4"/>
      <c r="F408" s="4"/>
      <c r="G408" s="4"/>
      <c r="H408" s="4"/>
      <c r="I408" s="5">
        <f t="shared" si="7"/>
        <v>0</v>
      </c>
      <c r="K408" s="5"/>
      <c r="L408" s="5"/>
      <c r="N408" s="9"/>
      <c r="O408" s="5"/>
    </row>
    <row r="409" spans="1:15" ht="15">
      <c r="A409" s="9"/>
      <c r="B409" s="4"/>
      <c r="C409" s="4"/>
      <c r="D409" s="4"/>
      <c r="E409" s="4"/>
      <c r="F409" s="4"/>
      <c r="G409" s="4"/>
      <c r="H409" s="4"/>
      <c r="I409" s="5">
        <f t="shared" si="7"/>
        <v>0</v>
      </c>
      <c r="K409" s="4"/>
      <c r="L409" s="5"/>
      <c r="N409" s="9"/>
      <c r="O409" s="5"/>
    </row>
    <row r="410" spans="1:15" ht="15">
      <c r="A410" s="8"/>
      <c r="B410" s="8"/>
      <c r="C410" s="8"/>
      <c r="D410" s="8"/>
      <c r="E410" s="8"/>
      <c r="F410" s="8"/>
      <c r="G410" s="8"/>
      <c r="H410" s="8"/>
      <c r="I410" s="7">
        <f aca="true" t="shared" si="8" ref="I410:I473">SUM(C410:H410)</f>
        <v>0</v>
      </c>
      <c r="K410" s="8" t="s">
        <v>0</v>
      </c>
      <c r="L410" s="7">
        <f>SUM(C410:C417)</f>
        <v>0</v>
      </c>
      <c r="N410" s="6">
        <f>A410</f>
        <v>0</v>
      </c>
      <c r="O410" s="7">
        <f>SUM(L410:L415)</f>
        <v>0</v>
      </c>
    </row>
    <row r="411" spans="1:15" ht="15">
      <c r="A411" s="8"/>
      <c r="B411" s="8"/>
      <c r="C411" s="8"/>
      <c r="D411" s="8"/>
      <c r="E411" s="8"/>
      <c r="F411" s="8"/>
      <c r="G411" s="8"/>
      <c r="H411" s="8"/>
      <c r="I411" s="7">
        <f t="shared" si="8"/>
        <v>0</v>
      </c>
      <c r="K411" s="8" t="s">
        <v>1</v>
      </c>
      <c r="L411" s="7">
        <f>SUM(D410:D417)</f>
        <v>0</v>
      </c>
      <c r="N411" s="6"/>
      <c r="O411" s="7"/>
    </row>
    <row r="412" spans="1:15" ht="15">
      <c r="A412" s="8"/>
      <c r="B412" s="8"/>
      <c r="C412" s="8"/>
      <c r="D412" s="8"/>
      <c r="E412" s="8"/>
      <c r="F412" s="8"/>
      <c r="G412" s="8"/>
      <c r="H412" s="8"/>
      <c r="I412" s="7">
        <f t="shared" si="8"/>
        <v>0</v>
      </c>
      <c r="K412" s="8" t="s">
        <v>2</v>
      </c>
      <c r="L412" s="7">
        <f>SUM(E410:E417)</f>
        <v>0</v>
      </c>
      <c r="N412" s="6"/>
      <c r="O412" s="7"/>
    </row>
    <row r="413" spans="1:15" ht="15">
      <c r="A413" s="8"/>
      <c r="B413" s="8"/>
      <c r="C413" s="8"/>
      <c r="D413" s="8"/>
      <c r="E413" s="8"/>
      <c r="F413" s="8"/>
      <c r="G413" s="8"/>
      <c r="H413" s="8"/>
      <c r="I413" s="7">
        <f t="shared" si="8"/>
        <v>0</v>
      </c>
      <c r="K413" s="8" t="s">
        <v>4</v>
      </c>
      <c r="L413" s="7">
        <f>SUM(F410:F417)</f>
        <v>0</v>
      </c>
      <c r="N413" s="6"/>
      <c r="O413" s="7"/>
    </row>
    <row r="414" spans="1:15" ht="15">
      <c r="A414" s="8"/>
      <c r="B414" s="8"/>
      <c r="C414" s="8"/>
      <c r="D414" s="8"/>
      <c r="E414" s="8"/>
      <c r="F414" s="8"/>
      <c r="G414" s="8"/>
      <c r="H414" s="8"/>
      <c r="I414" s="7">
        <f t="shared" si="8"/>
        <v>0</v>
      </c>
      <c r="K414" s="8" t="s">
        <v>5</v>
      </c>
      <c r="L414" s="7">
        <f>SUM(G410:G417)</f>
        <v>0</v>
      </c>
      <c r="N414" s="6"/>
      <c r="O414" s="7"/>
    </row>
    <row r="415" spans="1:15" ht="15">
      <c r="A415" s="8"/>
      <c r="B415" s="8"/>
      <c r="C415" s="8"/>
      <c r="D415" s="8"/>
      <c r="E415" s="8"/>
      <c r="F415" s="8"/>
      <c r="G415" s="8"/>
      <c r="H415" s="8"/>
      <c r="I415" s="7">
        <f t="shared" si="8"/>
        <v>0</v>
      </c>
      <c r="K415" s="8" t="s">
        <v>6</v>
      </c>
      <c r="L415" s="7">
        <f>SUM(H410:H417)</f>
        <v>0</v>
      </c>
      <c r="N415" s="6"/>
      <c r="O415" s="7"/>
    </row>
    <row r="416" spans="1:15" ht="15">
      <c r="A416" s="8"/>
      <c r="B416" s="8"/>
      <c r="C416" s="8"/>
      <c r="D416" s="8"/>
      <c r="E416" s="8"/>
      <c r="F416" s="8"/>
      <c r="G416" s="8"/>
      <c r="H416" s="8"/>
      <c r="I416" s="7">
        <f t="shared" si="8"/>
        <v>0</v>
      </c>
      <c r="K416" s="8"/>
      <c r="L416" s="7"/>
      <c r="N416" s="6"/>
      <c r="O416" s="7"/>
    </row>
    <row r="417" spans="1:15" ht="15">
      <c r="A417" s="8"/>
      <c r="B417" s="8"/>
      <c r="C417" s="8"/>
      <c r="D417" s="8"/>
      <c r="E417" s="8"/>
      <c r="F417" s="8"/>
      <c r="G417" s="8"/>
      <c r="H417" s="8"/>
      <c r="I417" s="7">
        <f t="shared" si="8"/>
        <v>0</v>
      </c>
      <c r="K417" s="8"/>
      <c r="L417" s="7"/>
      <c r="N417" s="6"/>
      <c r="O417" s="7"/>
    </row>
    <row r="418" spans="1:15" ht="15">
      <c r="A418" s="4"/>
      <c r="B418" s="4"/>
      <c r="C418" s="4"/>
      <c r="D418" s="4"/>
      <c r="E418" s="4"/>
      <c r="F418" s="4"/>
      <c r="G418" s="4"/>
      <c r="H418" s="4"/>
      <c r="I418" s="5">
        <f t="shared" si="8"/>
        <v>0</v>
      </c>
      <c r="K418" s="4" t="s">
        <v>0</v>
      </c>
      <c r="L418" s="5">
        <f>SUM(C418:C425)</f>
        <v>0</v>
      </c>
      <c r="N418" s="9">
        <f>A418</f>
        <v>0</v>
      </c>
      <c r="O418" s="5">
        <f>SUM(L418:L423)</f>
        <v>0</v>
      </c>
    </row>
    <row r="419" spans="1:15" ht="15">
      <c r="A419" s="9"/>
      <c r="B419" s="4"/>
      <c r="C419" s="4"/>
      <c r="D419" s="4"/>
      <c r="E419" s="4"/>
      <c r="F419" s="4"/>
      <c r="G419" s="4"/>
      <c r="H419" s="4"/>
      <c r="I419" s="5">
        <f t="shared" si="8"/>
        <v>0</v>
      </c>
      <c r="K419" s="4" t="s">
        <v>1</v>
      </c>
      <c r="L419" s="5">
        <f>SUM(D418:D425)</f>
        <v>0</v>
      </c>
      <c r="N419" s="9"/>
      <c r="O419" s="5"/>
    </row>
    <row r="420" spans="1:15" ht="15">
      <c r="A420" s="9"/>
      <c r="B420" s="4"/>
      <c r="C420" s="4"/>
      <c r="D420" s="4"/>
      <c r="E420" s="4"/>
      <c r="F420" s="4"/>
      <c r="G420" s="4"/>
      <c r="H420" s="4"/>
      <c r="I420" s="5">
        <f t="shared" si="8"/>
        <v>0</v>
      </c>
      <c r="K420" s="4" t="s">
        <v>2</v>
      </c>
      <c r="L420" s="5">
        <f>SUM(E418:E425)</f>
        <v>0</v>
      </c>
      <c r="N420" s="9"/>
      <c r="O420" s="5"/>
    </row>
    <row r="421" spans="1:15" ht="15">
      <c r="A421" s="9"/>
      <c r="B421" s="4"/>
      <c r="C421" s="4"/>
      <c r="D421" s="4"/>
      <c r="E421" s="4"/>
      <c r="F421" s="4"/>
      <c r="G421" s="4"/>
      <c r="H421" s="4"/>
      <c r="I421" s="5">
        <f t="shared" si="8"/>
        <v>0</v>
      </c>
      <c r="K421" s="4" t="s">
        <v>4</v>
      </c>
      <c r="L421" s="5">
        <f>SUM(F418:F425)</f>
        <v>0</v>
      </c>
      <c r="N421" s="9"/>
      <c r="O421" s="5"/>
    </row>
    <row r="422" spans="1:15" ht="15">
      <c r="A422" s="9"/>
      <c r="B422" s="4"/>
      <c r="C422" s="4"/>
      <c r="D422" s="4"/>
      <c r="E422" s="4"/>
      <c r="F422" s="4"/>
      <c r="G422" s="4"/>
      <c r="H422" s="4"/>
      <c r="I422" s="5">
        <f t="shared" si="8"/>
        <v>0</v>
      </c>
      <c r="K422" s="4" t="s">
        <v>5</v>
      </c>
      <c r="L422" s="5">
        <f>SUM(G418:G425)</f>
        <v>0</v>
      </c>
      <c r="N422" s="9"/>
      <c r="O422" s="5"/>
    </row>
    <row r="423" spans="1:15" ht="15">
      <c r="A423" s="9"/>
      <c r="B423" s="4"/>
      <c r="C423" s="4"/>
      <c r="D423" s="4"/>
      <c r="E423" s="4"/>
      <c r="F423" s="4"/>
      <c r="G423" s="4"/>
      <c r="H423" s="4"/>
      <c r="I423" s="5">
        <f t="shared" si="8"/>
        <v>0</v>
      </c>
      <c r="K423" s="4" t="s">
        <v>6</v>
      </c>
      <c r="L423" s="5">
        <f>SUM(H418:H425)</f>
        <v>0</v>
      </c>
      <c r="N423" s="9"/>
      <c r="O423" s="5"/>
    </row>
    <row r="424" spans="1:15" ht="15">
      <c r="A424" s="9"/>
      <c r="B424" s="4"/>
      <c r="C424" s="4"/>
      <c r="D424" s="4"/>
      <c r="E424" s="4"/>
      <c r="F424" s="4"/>
      <c r="G424" s="4"/>
      <c r="H424" s="4"/>
      <c r="I424" s="5">
        <f t="shared" si="8"/>
        <v>0</v>
      </c>
      <c r="K424" s="5"/>
      <c r="L424" s="5"/>
      <c r="N424" s="9"/>
      <c r="O424" s="5"/>
    </row>
    <row r="425" spans="1:15" ht="15">
      <c r="A425" s="9"/>
      <c r="B425" s="4"/>
      <c r="C425" s="4"/>
      <c r="D425" s="4"/>
      <c r="E425" s="4"/>
      <c r="F425" s="4"/>
      <c r="G425" s="4"/>
      <c r="H425" s="4"/>
      <c r="I425" s="5">
        <f t="shared" si="8"/>
        <v>0</v>
      </c>
      <c r="K425" s="4"/>
      <c r="L425" s="5"/>
      <c r="N425" s="9"/>
      <c r="O425" s="5"/>
    </row>
    <row r="426" spans="1:15" ht="15">
      <c r="A426" s="8"/>
      <c r="B426" s="8"/>
      <c r="C426" s="8"/>
      <c r="D426" s="8"/>
      <c r="E426" s="8"/>
      <c r="F426" s="8"/>
      <c r="G426" s="8"/>
      <c r="H426" s="8"/>
      <c r="I426" s="7">
        <f t="shared" si="8"/>
        <v>0</v>
      </c>
      <c r="K426" s="8" t="s">
        <v>0</v>
      </c>
      <c r="L426" s="7">
        <f>SUM(C426:C433)</f>
        <v>0</v>
      </c>
      <c r="N426" s="6">
        <f>A426</f>
        <v>0</v>
      </c>
      <c r="O426" s="7">
        <f>SUM(L426:L431)</f>
        <v>0</v>
      </c>
    </row>
    <row r="427" spans="1:15" ht="15">
      <c r="A427" s="8"/>
      <c r="B427" s="8"/>
      <c r="C427" s="8"/>
      <c r="D427" s="8"/>
      <c r="E427" s="8"/>
      <c r="F427" s="8"/>
      <c r="G427" s="8"/>
      <c r="H427" s="8"/>
      <c r="I427" s="7">
        <f t="shared" si="8"/>
        <v>0</v>
      </c>
      <c r="K427" s="8" t="s">
        <v>1</v>
      </c>
      <c r="L427" s="7">
        <f>SUM(D426:D433)</f>
        <v>0</v>
      </c>
      <c r="N427" s="6"/>
      <c r="O427" s="7"/>
    </row>
    <row r="428" spans="1:15" ht="15">
      <c r="A428" s="8"/>
      <c r="B428" s="8"/>
      <c r="C428" s="8"/>
      <c r="D428" s="8"/>
      <c r="E428" s="8"/>
      <c r="F428" s="8"/>
      <c r="G428" s="8"/>
      <c r="H428" s="8"/>
      <c r="I428" s="7">
        <f t="shared" si="8"/>
        <v>0</v>
      </c>
      <c r="K428" s="8" t="s">
        <v>2</v>
      </c>
      <c r="L428" s="7">
        <f>SUM(E426:E433)</f>
        <v>0</v>
      </c>
      <c r="N428" s="6"/>
      <c r="O428" s="7"/>
    </row>
    <row r="429" spans="1:15" ht="15">
      <c r="A429" s="8"/>
      <c r="B429" s="8"/>
      <c r="C429" s="8"/>
      <c r="D429" s="8"/>
      <c r="E429" s="8"/>
      <c r="F429" s="8"/>
      <c r="G429" s="8"/>
      <c r="H429" s="8"/>
      <c r="I429" s="7">
        <f t="shared" si="8"/>
        <v>0</v>
      </c>
      <c r="K429" s="8" t="s">
        <v>4</v>
      </c>
      <c r="L429" s="7">
        <f>SUM(F426:F433)</f>
        <v>0</v>
      </c>
      <c r="N429" s="6"/>
      <c r="O429" s="7"/>
    </row>
    <row r="430" spans="1:15" ht="15">
      <c r="A430" s="8"/>
      <c r="B430" s="8"/>
      <c r="C430" s="8"/>
      <c r="D430" s="8"/>
      <c r="E430" s="8"/>
      <c r="F430" s="8"/>
      <c r="G430" s="8"/>
      <c r="H430" s="8"/>
      <c r="I430" s="7">
        <f t="shared" si="8"/>
        <v>0</v>
      </c>
      <c r="K430" s="8" t="s">
        <v>5</v>
      </c>
      <c r="L430" s="7">
        <f>SUM(G426:G433)</f>
        <v>0</v>
      </c>
      <c r="N430" s="6"/>
      <c r="O430" s="7"/>
    </row>
    <row r="431" spans="1:15" ht="15">
      <c r="A431" s="8"/>
      <c r="B431" s="8"/>
      <c r="C431" s="8"/>
      <c r="D431" s="8"/>
      <c r="E431" s="8"/>
      <c r="F431" s="8"/>
      <c r="G431" s="8"/>
      <c r="H431" s="8"/>
      <c r="I431" s="7">
        <f t="shared" si="8"/>
        <v>0</v>
      </c>
      <c r="K431" s="8" t="s">
        <v>6</v>
      </c>
      <c r="L431" s="7">
        <f>SUM(H426:H433)</f>
        <v>0</v>
      </c>
      <c r="N431" s="6"/>
      <c r="O431" s="7"/>
    </row>
    <row r="432" spans="1:15" ht="15">
      <c r="A432" s="8"/>
      <c r="B432" s="8"/>
      <c r="C432" s="8"/>
      <c r="D432" s="8"/>
      <c r="E432" s="8"/>
      <c r="F432" s="8"/>
      <c r="G432" s="8"/>
      <c r="H432" s="8"/>
      <c r="I432" s="7">
        <f t="shared" si="8"/>
        <v>0</v>
      </c>
      <c r="K432" s="8"/>
      <c r="L432" s="7"/>
      <c r="N432" s="6"/>
      <c r="O432" s="7"/>
    </row>
    <row r="433" spans="1:15" ht="15">
      <c r="A433" s="8"/>
      <c r="B433" s="8"/>
      <c r="C433" s="8"/>
      <c r="D433" s="8"/>
      <c r="E433" s="8"/>
      <c r="F433" s="8"/>
      <c r="G433" s="8"/>
      <c r="H433" s="8"/>
      <c r="I433" s="7">
        <f t="shared" si="8"/>
        <v>0</v>
      </c>
      <c r="K433" s="8"/>
      <c r="L433" s="7"/>
      <c r="N433" s="6"/>
      <c r="O433" s="7"/>
    </row>
    <row r="434" spans="1:15" ht="15">
      <c r="A434" s="4"/>
      <c r="B434" s="4"/>
      <c r="C434" s="4"/>
      <c r="D434" s="4"/>
      <c r="E434" s="4"/>
      <c r="F434" s="4"/>
      <c r="G434" s="4"/>
      <c r="H434" s="4"/>
      <c r="I434" s="5">
        <f t="shared" si="8"/>
        <v>0</v>
      </c>
      <c r="K434" s="4" t="s">
        <v>0</v>
      </c>
      <c r="L434" s="5">
        <f>SUM(C434:C441)</f>
        <v>0</v>
      </c>
      <c r="N434" s="9">
        <f>A434</f>
        <v>0</v>
      </c>
      <c r="O434" s="5">
        <f>SUM(L434:L439)</f>
        <v>0</v>
      </c>
    </row>
    <row r="435" spans="1:15" ht="15">
      <c r="A435" s="9"/>
      <c r="B435" s="4"/>
      <c r="C435" s="4"/>
      <c r="D435" s="4"/>
      <c r="E435" s="4"/>
      <c r="F435" s="4"/>
      <c r="G435" s="4"/>
      <c r="H435" s="4"/>
      <c r="I435" s="5">
        <f t="shared" si="8"/>
        <v>0</v>
      </c>
      <c r="K435" s="4" t="s">
        <v>1</v>
      </c>
      <c r="L435" s="5">
        <f>SUM(D434:D441)</f>
        <v>0</v>
      </c>
      <c r="N435" s="9"/>
      <c r="O435" s="5"/>
    </row>
    <row r="436" spans="1:15" ht="15">
      <c r="A436" s="9"/>
      <c r="B436" s="4"/>
      <c r="C436" s="4"/>
      <c r="D436" s="4"/>
      <c r="E436" s="4"/>
      <c r="F436" s="4"/>
      <c r="G436" s="4"/>
      <c r="H436" s="4"/>
      <c r="I436" s="5">
        <f t="shared" si="8"/>
        <v>0</v>
      </c>
      <c r="K436" s="4" t="s">
        <v>2</v>
      </c>
      <c r="L436" s="5">
        <f>SUM(E434:E441)</f>
        <v>0</v>
      </c>
      <c r="N436" s="9"/>
      <c r="O436" s="5"/>
    </row>
    <row r="437" spans="1:15" ht="15">
      <c r="A437" s="9"/>
      <c r="B437" s="4"/>
      <c r="C437" s="4"/>
      <c r="D437" s="4"/>
      <c r="E437" s="4"/>
      <c r="F437" s="4"/>
      <c r="G437" s="4"/>
      <c r="H437" s="4"/>
      <c r="I437" s="5">
        <f t="shared" si="8"/>
        <v>0</v>
      </c>
      <c r="K437" s="4" t="s">
        <v>4</v>
      </c>
      <c r="L437" s="5">
        <f>SUM(F434:F441)</f>
        <v>0</v>
      </c>
      <c r="N437" s="9"/>
      <c r="O437" s="5"/>
    </row>
    <row r="438" spans="1:15" ht="15">
      <c r="A438" s="9"/>
      <c r="B438" s="4"/>
      <c r="C438" s="4"/>
      <c r="D438" s="4"/>
      <c r="E438" s="4"/>
      <c r="F438" s="4"/>
      <c r="G438" s="4"/>
      <c r="H438" s="4"/>
      <c r="I438" s="5">
        <f t="shared" si="8"/>
        <v>0</v>
      </c>
      <c r="K438" s="4" t="s">
        <v>5</v>
      </c>
      <c r="L438" s="5">
        <f>SUM(G434:G441)</f>
        <v>0</v>
      </c>
      <c r="N438" s="9"/>
      <c r="O438" s="5"/>
    </row>
    <row r="439" spans="1:15" ht="15">
      <c r="A439" s="9"/>
      <c r="B439" s="4"/>
      <c r="C439" s="4"/>
      <c r="D439" s="4"/>
      <c r="E439" s="4"/>
      <c r="F439" s="4"/>
      <c r="G439" s="4"/>
      <c r="H439" s="4"/>
      <c r="I439" s="5">
        <f t="shared" si="8"/>
        <v>0</v>
      </c>
      <c r="K439" s="4" t="s">
        <v>6</v>
      </c>
      <c r="L439" s="5">
        <f>SUM(H434:H441)</f>
        <v>0</v>
      </c>
      <c r="N439" s="9"/>
      <c r="O439" s="5"/>
    </row>
    <row r="440" spans="1:15" ht="15">
      <c r="A440" s="9"/>
      <c r="B440" s="4"/>
      <c r="C440" s="4"/>
      <c r="D440" s="4"/>
      <c r="E440" s="4"/>
      <c r="F440" s="4"/>
      <c r="G440" s="4"/>
      <c r="H440" s="4"/>
      <c r="I440" s="5">
        <f t="shared" si="8"/>
        <v>0</v>
      </c>
      <c r="K440" s="5"/>
      <c r="L440" s="5"/>
      <c r="N440" s="9"/>
      <c r="O440" s="5"/>
    </row>
    <row r="441" spans="1:15" ht="15">
      <c r="A441" s="9"/>
      <c r="B441" s="4"/>
      <c r="C441" s="4"/>
      <c r="D441" s="4"/>
      <c r="E441" s="4"/>
      <c r="F441" s="4"/>
      <c r="G441" s="4"/>
      <c r="H441" s="4"/>
      <c r="I441" s="5">
        <f t="shared" si="8"/>
        <v>0</v>
      </c>
      <c r="K441" s="4"/>
      <c r="L441" s="5"/>
      <c r="N441" s="9"/>
      <c r="O441" s="5"/>
    </row>
    <row r="442" spans="1:15" ht="15">
      <c r="A442" s="8"/>
      <c r="B442" s="8"/>
      <c r="C442" s="8"/>
      <c r="D442" s="8"/>
      <c r="E442" s="8"/>
      <c r="F442" s="8"/>
      <c r="G442" s="8"/>
      <c r="H442" s="8"/>
      <c r="I442" s="7">
        <f t="shared" si="8"/>
        <v>0</v>
      </c>
      <c r="K442" s="8" t="s">
        <v>0</v>
      </c>
      <c r="L442" s="7">
        <f>SUM(C442:C449)</f>
        <v>0</v>
      </c>
      <c r="N442" s="6">
        <f>A442</f>
        <v>0</v>
      </c>
      <c r="O442" s="7">
        <f>SUM(L442:L447)</f>
        <v>0</v>
      </c>
    </row>
    <row r="443" spans="1:15" ht="15">
      <c r="A443" s="8"/>
      <c r="B443" s="8"/>
      <c r="C443" s="8"/>
      <c r="D443" s="8"/>
      <c r="E443" s="8"/>
      <c r="F443" s="8"/>
      <c r="G443" s="8"/>
      <c r="H443" s="8"/>
      <c r="I443" s="7">
        <f t="shared" si="8"/>
        <v>0</v>
      </c>
      <c r="K443" s="8" t="s">
        <v>1</v>
      </c>
      <c r="L443" s="7">
        <f>SUM(D442:D449)</f>
        <v>0</v>
      </c>
      <c r="N443" s="6"/>
      <c r="O443" s="7"/>
    </row>
    <row r="444" spans="1:15" ht="15">
      <c r="A444" s="8"/>
      <c r="B444" s="8"/>
      <c r="C444" s="8"/>
      <c r="D444" s="8"/>
      <c r="E444" s="8"/>
      <c r="F444" s="8"/>
      <c r="G444" s="8"/>
      <c r="H444" s="8"/>
      <c r="I444" s="7">
        <f t="shared" si="8"/>
        <v>0</v>
      </c>
      <c r="K444" s="8" t="s">
        <v>2</v>
      </c>
      <c r="L444" s="7">
        <f>SUM(E442:E449)</f>
        <v>0</v>
      </c>
      <c r="N444" s="6"/>
      <c r="O444" s="7"/>
    </row>
    <row r="445" spans="1:15" ht="15">
      <c r="A445" s="8"/>
      <c r="B445" s="8"/>
      <c r="C445" s="8"/>
      <c r="D445" s="8"/>
      <c r="E445" s="8"/>
      <c r="F445" s="8"/>
      <c r="G445" s="8"/>
      <c r="H445" s="8"/>
      <c r="I445" s="7">
        <f t="shared" si="8"/>
        <v>0</v>
      </c>
      <c r="K445" s="8" t="s">
        <v>4</v>
      </c>
      <c r="L445" s="7">
        <f>SUM(F442:F449)</f>
        <v>0</v>
      </c>
      <c r="N445" s="6"/>
      <c r="O445" s="7"/>
    </row>
    <row r="446" spans="1:15" ht="15">
      <c r="A446" s="8"/>
      <c r="B446" s="8"/>
      <c r="C446" s="8"/>
      <c r="D446" s="8"/>
      <c r="E446" s="8"/>
      <c r="F446" s="8"/>
      <c r="G446" s="8"/>
      <c r="H446" s="8"/>
      <c r="I446" s="7">
        <f t="shared" si="8"/>
        <v>0</v>
      </c>
      <c r="K446" s="8" t="s">
        <v>5</v>
      </c>
      <c r="L446" s="7">
        <f>SUM(G442:G449)</f>
        <v>0</v>
      </c>
      <c r="N446" s="6"/>
      <c r="O446" s="7"/>
    </row>
    <row r="447" spans="1:15" ht="15">
      <c r="A447" s="8"/>
      <c r="B447" s="8"/>
      <c r="C447" s="8"/>
      <c r="D447" s="8"/>
      <c r="E447" s="8"/>
      <c r="F447" s="8"/>
      <c r="G447" s="8"/>
      <c r="H447" s="8"/>
      <c r="I447" s="7">
        <f t="shared" si="8"/>
        <v>0</v>
      </c>
      <c r="K447" s="8" t="s">
        <v>6</v>
      </c>
      <c r="L447" s="7">
        <f>SUM(H442:H449)</f>
        <v>0</v>
      </c>
      <c r="N447" s="6"/>
      <c r="O447" s="7"/>
    </row>
    <row r="448" spans="1:15" ht="15">
      <c r="A448" s="8"/>
      <c r="B448" s="8"/>
      <c r="C448" s="8"/>
      <c r="D448" s="8"/>
      <c r="E448" s="8"/>
      <c r="F448" s="8"/>
      <c r="G448" s="8"/>
      <c r="H448" s="8"/>
      <c r="I448" s="7">
        <f t="shared" si="8"/>
        <v>0</v>
      </c>
      <c r="K448" s="8"/>
      <c r="L448" s="7"/>
      <c r="N448" s="6"/>
      <c r="O448" s="7"/>
    </row>
    <row r="449" spans="1:15" ht="15">
      <c r="A449" s="8"/>
      <c r="B449" s="8"/>
      <c r="C449" s="8"/>
      <c r="D449" s="8"/>
      <c r="E449" s="8"/>
      <c r="F449" s="8"/>
      <c r="G449" s="8"/>
      <c r="H449" s="8"/>
      <c r="I449" s="7">
        <f t="shared" si="8"/>
        <v>0</v>
      </c>
      <c r="K449" s="8"/>
      <c r="L449" s="7"/>
      <c r="N449" s="6"/>
      <c r="O449" s="7"/>
    </row>
    <row r="450" spans="1:15" ht="15">
      <c r="A450" s="4"/>
      <c r="B450" s="4"/>
      <c r="C450" s="4"/>
      <c r="D450" s="4"/>
      <c r="E450" s="4"/>
      <c r="F450" s="4"/>
      <c r="G450" s="4"/>
      <c r="H450" s="4"/>
      <c r="I450" s="5">
        <f t="shared" si="8"/>
        <v>0</v>
      </c>
      <c r="K450" s="4" t="s">
        <v>0</v>
      </c>
      <c r="L450" s="5">
        <f>SUM(C450:C457)</f>
        <v>0</v>
      </c>
      <c r="N450" s="9">
        <f>A450</f>
        <v>0</v>
      </c>
      <c r="O450" s="5">
        <f>SUM(L450:L455)</f>
        <v>0</v>
      </c>
    </row>
    <row r="451" spans="1:15" ht="15">
      <c r="A451" s="9"/>
      <c r="B451" s="4"/>
      <c r="C451" s="4"/>
      <c r="D451" s="4"/>
      <c r="E451" s="4"/>
      <c r="F451" s="4"/>
      <c r="G451" s="4"/>
      <c r="H451" s="4"/>
      <c r="I451" s="5">
        <f t="shared" si="8"/>
        <v>0</v>
      </c>
      <c r="K451" s="4" t="s">
        <v>1</v>
      </c>
      <c r="L451" s="5">
        <f>SUM(D450:D457)</f>
        <v>0</v>
      </c>
      <c r="N451" s="9"/>
      <c r="O451" s="5"/>
    </row>
    <row r="452" spans="1:15" ht="15">
      <c r="A452" s="9"/>
      <c r="B452" s="4"/>
      <c r="C452" s="4"/>
      <c r="D452" s="4"/>
      <c r="E452" s="4"/>
      <c r="F452" s="4"/>
      <c r="G452" s="4"/>
      <c r="H452" s="4"/>
      <c r="I452" s="5">
        <f t="shared" si="8"/>
        <v>0</v>
      </c>
      <c r="K452" s="4" t="s">
        <v>2</v>
      </c>
      <c r="L452" s="5">
        <f>SUM(E450:E457)</f>
        <v>0</v>
      </c>
      <c r="N452" s="9"/>
      <c r="O452" s="5"/>
    </row>
    <row r="453" spans="1:15" ht="15">
      <c r="A453" s="9"/>
      <c r="B453" s="4"/>
      <c r="C453" s="4"/>
      <c r="D453" s="4"/>
      <c r="E453" s="4"/>
      <c r="F453" s="4"/>
      <c r="G453" s="4"/>
      <c r="H453" s="4"/>
      <c r="I453" s="5">
        <f t="shared" si="8"/>
        <v>0</v>
      </c>
      <c r="K453" s="4" t="s">
        <v>4</v>
      </c>
      <c r="L453" s="5">
        <f>SUM(F450:F457)</f>
        <v>0</v>
      </c>
      <c r="N453" s="9"/>
      <c r="O453" s="5"/>
    </row>
    <row r="454" spans="1:15" ht="15">
      <c r="A454" s="9"/>
      <c r="B454" s="4"/>
      <c r="C454" s="4"/>
      <c r="D454" s="4"/>
      <c r="E454" s="4"/>
      <c r="F454" s="4"/>
      <c r="G454" s="4"/>
      <c r="H454" s="4"/>
      <c r="I454" s="5">
        <f t="shared" si="8"/>
        <v>0</v>
      </c>
      <c r="K454" s="4" t="s">
        <v>5</v>
      </c>
      <c r="L454" s="5">
        <f>SUM(G450:G457)</f>
        <v>0</v>
      </c>
      <c r="N454" s="9"/>
      <c r="O454" s="5"/>
    </row>
    <row r="455" spans="1:15" ht="15">
      <c r="A455" s="9"/>
      <c r="B455" s="4"/>
      <c r="C455" s="4"/>
      <c r="D455" s="4"/>
      <c r="E455" s="4"/>
      <c r="F455" s="4"/>
      <c r="G455" s="4"/>
      <c r="H455" s="4"/>
      <c r="I455" s="5">
        <f t="shared" si="8"/>
        <v>0</v>
      </c>
      <c r="K455" s="4" t="s">
        <v>6</v>
      </c>
      <c r="L455" s="5">
        <f>SUM(H450:H457)</f>
        <v>0</v>
      </c>
      <c r="N455" s="9"/>
      <c r="O455" s="5"/>
    </row>
    <row r="456" spans="1:15" ht="15">
      <c r="A456" s="9"/>
      <c r="B456" s="4"/>
      <c r="C456" s="4"/>
      <c r="D456" s="4"/>
      <c r="E456" s="4"/>
      <c r="F456" s="4"/>
      <c r="G456" s="4"/>
      <c r="H456" s="4"/>
      <c r="I456" s="5">
        <f t="shared" si="8"/>
        <v>0</v>
      </c>
      <c r="K456" s="5"/>
      <c r="L456" s="5"/>
      <c r="N456" s="9"/>
      <c r="O456" s="5"/>
    </row>
    <row r="457" spans="1:15" ht="15">
      <c r="A457" s="9"/>
      <c r="B457" s="4"/>
      <c r="C457" s="4"/>
      <c r="D457" s="4"/>
      <c r="E457" s="4"/>
      <c r="F457" s="4"/>
      <c r="G457" s="4"/>
      <c r="H457" s="4"/>
      <c r="I457" s="5">
        <f t="shared" si="8"/>
        <v>0</v>
      </c>
      <c r="K457" s="4"/>
      <c r="L457" s="5"/>
      <c r="N457" s="9"/>
      <c r="O457" s="5"/>
    </row>
    <row r="458" spans="1:15" ht="15">
      <c r="A458" s="8"/>
      <c r="B458" s="8"/>
      <c r="C458" s="8"/>
      <c r="D458" s="8"/>
      <c r="E458" s="8"/>
      <c r="F458" s="8"/>
      <c r="G458" s="8"/>
      <c r="H458" s="8"/>
      <c r="I458" s="7">
        <f t="shared" si="8"/>
        <v>0</v>
      </c>
      <c r="K458" s="8" t="s">
        <v>0</v>
      </c>
      <c r="L458" s="7">
        <f>SUM(C458:C465)</f>
        <v>0</v>
      </c>
      <c r="N458" s="6">
        <f>A458</f>
        <v>0</v>
      </c>
      <c r="O458" s="7">
        <f>SUM(L458:L463)</f>
        <v>0</v>
      </c>
    </row>
    <row r="459" spans="1:15" ht="15">
      <c r="A459" s="8"/>
      <c r="B459" s="8"/>
      <c r="C459" s="8"/>
      <c r="D459" s="8"/>
      <c r="E459" s="8"/>
      <c r="F459" s="8"/>
      <c r="G459" s="8"/>
      <c r="H459" s="8"/>
      <c r="I459" s="7">
        <f t="shared" si="8"/>
        <v>0</v>
      </c>
      <c r="K459" s="8" t="s">
        <v>1</v>
      </c>
      <c r="L459" s="7">
        <f>SUM(D458:D465)</f>
        <v>0</v>
      </c>
      <c r="N459" s="6"/>
      <c r="O459" s="7"/>
    </row>
    <row r="460" spans="1:15" ht="15">
      <c r="A460" s="8"/>
      <c r="B460" s="8"/>
      <c r="C460" s="8"/>
      <c r="D460" s="8"/>
      <c r="E460" s="8"/>
      <c r="F460" s="8"/>
      <c r="G460" s="8"/>
      <c r="H460" s="8"/>
      <c r="I460" s="7">
        <f t="shared" si="8"/>
        <v>0</v>
      </c>
      <c r="K460" s="8" t="s">
        <v>2</v>
      </c>
      <c r="L460" s="7">
        <f>SUM(E458:E465)</f>
        <v>0</v>
      </c>
      <c r="N460" s="6"/>
      <c r="O460" s="7"/>
    </row>
    <row r="461" spans="1:15" ht="15">
      <c r="A461" s="8"/>
      <c r="B461" s="8"/>
      <c r="C461" s="8"/>
      <c r="D461" s="8"/>
      <c r="E461" s="8"/>
      <c r="F461" s="8"/>
      <c r="G461" s="8"/>
      <c r="H461" s="8"/>
      <c r="I461" s="7">
        <f t="shared" si="8"/>
        <v>0</v>
      </c>
      <c r="K461" s="8" t="s">
        <v>4</v>
      </c>
      <c r="L461" s="7">
        <f>SUM(F458:F465)</f>
        <v>0</v>
      </c>
      <c r="N461" s="6"/>
      <c r="O461" s="7"/>
    </row>
    <row r="462" spans="1:15" ht="15">
      <c r="A462" s="8"/>
      <c r="B462" s="8"/>
      <c r="C462" s="8"/>
      <c r="D462" s="8"/>
      <c r="E462" s="8"/>
      <c r="F462" s="8"/>
      <c r="G462" s="8"/>
      <c r="H462" s="8"/>
      <c r="I462" s="7">
        <f t="shared" si="8"/>
        <v>0</v>
      </c>
      <c r="K462" s="8" t="s">
        <v>5</v>
      </c>
      <c r="L462" s="7">
        <f>SUM(G458:G465)</f>
        <v>0</v>
      </c>
      <c r="N462" s="6"/>
      <c r="O462" s="7"/>
    </row>
    <row r="463" spans="1:15" ht="15">
      <c r="A463" s="8"/>
      <c r="B463" s="8"/>
      <c r="C463" s="8"/>
      <c r="D463" s="8"/>
      <c r="E463" s="8"/>
      <c r="F463" s="8"/>
      <c r="G463" s="8"/>
      <c r="H463" s="8"/>
      <c r="I463" s="7">
        <f t="shared" si="8"/>
        <v>0</v>
      </c>
      <c r="K463" s="8" t="s">
        <v>6</v>
      </c>
      <c r="L463" s="7">
        <f>SUM(H458:H465)</f>
        <v>0</v>
      </c>
      <c r="N463" s="6"/>
      <c r="O463" s="7"/>
    </row>
    <row r="464" spans="1:15" ht="15">
      <c r="A464" s="8"/>
      <c r="B464" s="8"/>
      <c r="C464" s="8"/>
      <c r="D464" s="8"/>
      <c r="E464" s="8"/>
      <c r="F464" s="8"/>
      <c r="G464" s="8"/>
      <c r="H464" s="8"/>
      <c r="I464" s="7">
        <f t="shared" si="8"/>
        <v>0</v>
      </c>
      <c r="K464" s="8"/>
      <c r="L464" s="7"/>
      <c r="N464" s="6"/>
      <c r="O464" s="7"/>
    </row>
    <row r="465" spans="1:15" ht="15">
      <c r="A465" s="8"/>
      <c r="B465" s="8"/>
      <c r="C465" s="8"/>
      <c r="D465" s="8"/>
      <c r="E465" s="8"/>
      <c r="F465" s="8"/>
      <c r="G465" s="8"/>
      <c r="H465" s="8"/>
      <c r="I465" s="7">
        <f t="shared" si="8"/>
        <v>0</v>
      </c>
      <c r="K465" s="8"/>
      <c r="L465" s="7"/>
      <c r="N465" s="6"/>
      <c r="O465" s="7"/>
    </row>
    <row r="466" spans="1:15" ht="15">
      <c r="A466" s="4"/>
      <c r="B466" s="4"/>
      <c r="C466" s="4"/>
      <c r="D466" s="4"/>
      <c r="E466" s="4"/>
      <c r="F466" s="4"/>
      <c r="G466" s="4"/>
      <c r="H466" s="4"/>
      <c r="I466" s="5">
        <f t="shared" si="8"/>
        <v>0</v>
      </c>
      <c r="K466" s="4" t="s">
        <v>0</v>
      </c>
      <c r="L466" s="5">
        <f>SUM(C466:C473)</f>
        <v>0</v>
      </c>
      <c r="N466" s="9">
        <f>A466</f>
        <v>0</v>
      </c>
      <c r="O466" s="5">
        <f>SUM(L466:L471)</f>
        <v>0</v>
      </c>
    </row>
    <row r="467" spans="1:15" ht="15">
      <c r="A467" s="9"/>
      <c r="B467" s="4"/>
      <c r="C467" s="4"/>
      <c r="D467" s="4"/>
      <c r="E467" s="4"/>
      <c r="F467" s="4"/>
      <c r="G467" s="4"/>
      <c r="H467" s="4"/>
      <c r="I467" s="5">
        <f t="shared" si="8"/>
        <v>0</v>
      </c>
      <c r="K467" s="4" t="s">
        <v>1</v>
      </c>
      <c r="L467" s="5">
        <f>SUM(D466:D473)</f>
        <v>0</v>
      </c>
      <c r="N467" s="9"/>
      <c r="O467" s="5"/>
    </row>
    <row r="468" spans="1:15" ht="15">
      <c r="A468" s="9"/>
      <c r="B468" s="4"/>
      <c r="C468" s="4"/>
      <c r="D468" s="4"/>
      <c r="E468" s="4"/>
      <c r="F468" s="4"/>
      <c r="G468" s="4"/>
      <c r="H468" s="4"/>
      <c r="I468" s="5">
        <f t="shared" si="8"/>
        <v>0</v>
      </c>
      <c r="K468" s="4" t="s">
        <v>2</v>
      </c>
      <c r="L468" s="5">
        <f>SUM(E466:E473)</f>
        <v>0</v>
      </c>
      <c r="N468" s="9"/>
      <c r="O468" s="5"/>
    </row>
    <row r="469" spans="1:15" ht="15">
      <c r="A469" s="9"/>
      <c r="B469" s="4"/>
      <c r="C469" s="4"/>
      <c r="D469" s="4"/>
      <c r="E469" s="4"/>
      <c r="F469" s="4"/>
      <c r="G469" s="4"/>
      <c r="H469" s="4"/>
      <c r="I469" s="5">
        <f t="shared" si="8"/>
        <v>0</v>
      </c>
      <c r="K469" s="4" t="s">
        <v>4</v>
      </c>
      <c r="L469" s="5">
        <f>SUM(F466:F473)</f>
        <v>0</v>
      </c>
      <c r="N469" s="9"/>
      <c r="O469" s="5"/>
    </row>
    <row r="470" spans="1:15" ht="15">
      <c r="A470" s="9"/>
      <c r="B470" s="4"/>
      <c r="C470" s="4"/>
      <c r="D470" s="4"/>
      <c r="E470" s="4"/>
      <c r="F470" s="4"/>
      <c r="G470" s="4"/>
      <c r="H470" s="4"/>
      <c r="I470" s="5">
        <f t="shared" si="8"/>
        <v>0</v>
      </c>
      <c r="K470" s="4" t="s">
        <v>5</v>
      </c>
      <c r="L470" s="5">
        <f>SUM(G466:G473)</f>
        <v>0</v>
      </c>
      <c r="N470" s="9"/>
      <c r="O470" s="5"/>
    </row>
    <row r="471" spans="1:15" ht="15">
      <c r="A471" s="9"/>
      <c r="B471" s="4"/>
      <c r="C471" s="4"/>
      <c r="D471" s="4"/>
      <c r="E471" s="4"/>
      <c r="F471" s="4"/>
      <c r="G471" s="4"/>
      <c r="H471" s="4"/>
      <c r="I471" s="5">
        <f t="shared" si="8"/>
        <v>0</v>
      </c>
      <c r="K471" s="4" t="s">
        <v>6</v>
      </c>
      <c r="L471" s="5">
        <f>SUM(H466:H473)</f>
        <v>0</v>
      </c>
      <c r="N471" s="9"/>
      <c r="O471" s="5"/>
    </row>
    <row r="472" spans="1:15" ht="15">
      <c r="A472" s="9"/>
      <c r="B472" s="4"/>
      <c r="C472" s="4"/>
      <c r="D472" s="4"/>
      <c r="E472" s="4"/>
      <c r="F472" s="4"/>
      <c r="G472" s="4"/>
      <c r="H472" s="4"/>
      <c r="I472" s="5">
        <f t="shared" si="8"/>
        <v>0</v>
      </c>
      <c r="K472" s="5"/>
      <c r="L472" s="5"/>
      <c r="N472" s="9"/>
      <c r="O472" s="5"/>
    </row>
    <row r="473" spans="1:15" ht="15">
      <c r="A473" s="9"/>
      <c r="B473" s="4"/>
      <c r="C473" s="4"/>
      <c r="D473" s="4"/>
      <c r="E473" s="4"/>
      <c r="F473" s="4"/>
      <c r="G473" s="4"/>
      <c r="H473" s="4"/>
      <c r="I473" s="5">
        <f t="shared" si="8"/>
        <v>0</v>
      </c>
      <c r="K473" s="4"/>
      <c r="L473" s="5"/>
      <c r="N473" s="9"/>
      <c r="O473" s="5"/>
    </row>
    <row r="474" spans="1:15" ht="15">
      <c r="A474" s="8"/>
      <c r="B474" s="8"/>
      <c r="C474" s="8"/>
      <c r="D474" s="8"/>
      <c r="E474" s="8"/>
      <c r="F474" s="8"/>
      <c r="G474" s="8"/>
      <c r="H474" s="8"/>
      <c r="I474" s="7">
        <f aca="true" t="shared" si="9" ref="I474:I481">SUM(C474:H474)</f>
        <v>0</v>
      </c>
      <c r="K474" s="8" t="s">
        <v>0</v>
      </c>
      <c r="L474" s="7">
        <f>SUM(C474:C481)</f>
        <v>0</v>
      </c>
      <c r="N474" s="6">
        <f>A474</f>
        <v>0</v>
      </c>
      <c r="O474" s="7">
        <f>SUM(L474:L479)</f>
        <v>0</v>
      </c>
    </row>
    <row r="475" spans="1:15" ht="15">
      <c r="A475" s="8"/>
      <c r="B475" s="8"/>
      <c r="C475" s="8"/>
      <c r="D475" s="8"/>
      <c r="E475" s="8"/>
      <c r="F475" s="8"/>
      <c r="G475" s="8"/>
      <c r="H475" s="8"/>
      <c r="I475" s="7">
        <f t="shared" si="9"/>
        <v>0</v>
      </c>
      <c r="K475" s="8" t="s">
        <v>1</v>
      </c>
      <c r="L475" s="7">
        <f>SUM(D474:D481)</f>
        <v>0</v>
      </c>
      <c r="N475" s="6"/>
      <c r="O475" s="7"/>
    </row>
    <row r="476" spans="1:15" ht="15">
      <c r="A476" s="8"/>
      <c r="B476" s="8"/>
      <c r="C476" s="8"/>
      <c r="D476" s="8"/>
      <c r="E476" s="8"/>
      <c r="F476" s="8"/>
      <c r="G476" s="8"/>
      <c r="H476" s="8"/>
      <c r="I476" s="7">
        <f t="shared" si="9"/>
        <v>0</v>
      </c>
      <c r="K476" s="8" t="s">
        <v>2</v>
      </c>
      <c r="L476" s="7">
        <f>SUM(E474:E481)</f>
        <v>0</v>
      </c>
      <c r="N476" s="6"/>
      <c r="O476" s="7"/>
    </row>
    <row r="477" spans="1:15" ht="15">
      <c r="A477" s="8"/>
      <c r="B477" s="8"/>
      <c r="C477" s="8"/>
      <c r="D477" s="8"/>
      <c r="E477" s="8"/>
      <c r="F477" s="8"/>
      <c r="G477" s="8"/>
      <c r="H477" s="8"/>
      <c r="I477" s="7">
        <f t="shared" si="9"/>
        <v>0</v>
      </c>
      <c r="K477" s="8" t="s">
        <v>4</v>
      </c>
      <c r="L477" s="7">
        <f>SUM(F474:F481)</f>
        <v>0</v>
      </c>
      <c r="N477" s="6"/>
      <c r="O477" s="7"/>
    </row>
    <row r="478" spans="1:15" ht="15">
      <c r="A478" s="8"/>
      <c r="B478" s="8"/>
      <c r="C478" s="8"/>
      <c r="D478" s="8"/>
      <c r="E478" s="8"/>
      <c r="F478" s="8"/>
      <c r="G478" s="8"/>
      <c r="H478" s="8"/>
      <c r="I478" s="7">
        <f t="shared" si="9"/>
        <v>0</v>
      </c>
      <c r="K478" s="8" t="s">
        <v>5</v>
      </c>
      <c r="L478" s="7">
        <f>SUM(G474:G481)</f>
        <v>0</v>
      </c>
      <c r="N478" s="6"/>
      <c r="O478" s="7"/>
    </row>
    <row r="479" spans="1:15" ht="15">
      <c r="A479" s="8"/>
      <c r="B479" s="8"/>
      <c r="C479" s="8"/>
      <c r="D479" s="8"/>
      <c r="E479" s="8"/>
      <c r="F479" s="8"/>
      <c r="G479" s="8"/>
      <c r="H479" s="8"/>
      <c r="I479" s="7">
        <f t="shared" si="9"/>
        <v>0</v>
      </c>
      <c r="K479" s="8" t="s">
        <v>6</v>
      </c>
      <c r="L479" s="7">
        <f>SUM(H474:H481)</f>
        <v>0</v>
      </c>
      <c r="N479" s="6"/>
      <c r="O479" s="7"/>
    </row>
    <row r="480" spans="1:15" ht="15">
      <c r="A480" s="8"/>
      <c r="B480" s="8"/>
      <c r="C480" s="8"/>
      <c r="D480" s="8"/>
      <c r="E480" s="8"/>
      <c r="F480" s="8"/>
      <c r="G480" s="8"/>
      <c r="H480" s="8"/>
      <c r="I480" s="7">
        <f t="shared" si="9"/>
        <v>0</v>
      </c>
      <c r="K480" s="8"/>
      <c r="L480" s="7"/>
      <c r="N480" s="6"/>
      <c r="O480" s="7"/>
    </row>
    <row r="481" spans="1:15" ht="15">
      <c r="A481" s="8"/>
      <c r="B481" s="8"/>
      <c r="C481" s="8"/>
      <c r="D481" s="8"/>
      <c r="E481" s="8"/>
      <c r="F481" s="8"/>
      <c r="G481" s="8"/>
      <c r="H481" s="8"/>
      <c r="I481" s="7">
        <f t="shared" si="9"/>
        <v>0</v>
      </c>
      <c r="K481" s="8"/>
      <c r="L481" s="7"/>
      <c r="N481" s="6"/>
      <c r="O481" s="7"/>
    </row>
  </sheetData>
  <mergeCells count="1">
    <mergeCell ref="N1:O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1"/>
  <sheetViews>
    <sheetView workbookViewId="0" topLeftCell="A138">
      <selection activeCell="B148" sqref="B148"/>
    </sheetView>
  </sheetViews>
  <sheetFormatPr defaultColWidth="17.00390625" defaultRowHeight="15"/>
  <cols>
    <col min="1" max="1" width="42.28125" style="3" bestFit="1" customWidth="1"/>
    <col min="2" max="2" width="18.00390625" style="3" bestFit="1" customWidth="1"/>
    <col min="3" max="8" width="7.28125" style="3" bestFit="1" customWidth="1"/>
    <col min="9" max="9" width="14.8515625" style="2" bestFit="1" customWidth="1"/>
    <col min="10" max="10" width="5.7109375" style="0" customWidth="1"/>
    <col min="11" max="11" width="7.28125" style="3" bestFit="1" customWidth="1"/>
    <col min="12" max="12" width="10.28125" style="2" bestFit="1" customWidth="1"/>
    <col min="13" max="13" width="5.7109375" style="0" customWidth="1"/>
    <col min="14" max="14" width="42.28125" style="3" bestFit="1" customWidth="1"/>
    <col min="15" max="15" width="10.28125" style="2" bestFit="1" customWidth="1"/>
    <col min="16" max="16384" width="17.00390625" style="3" customWidth="1"/>
  </cols>
  <sheetData>
    <row r="1" spans="1:15" s="2" customFormat="1" ht="15">
      <c r="A1" s="2" t="s">
        <v>8</v>
      </c>
      <c r="B1" s="2" t="s">
        <v>7</v>
      </c>
      <c r="C1" s="2" t="s">
        <v>0</v>
      </c>
      <c r="D1" s="2" t="s">
        <v>1</v>
      </c>
      <c r="E1" s="2" t="s">
        <v>2</v>
      </c>
      <c r="F1" s="2" t="s">
        <v>4</v>
      </c>
      <c r="G1" s="2" t="s">
        <v>5</v>
      </c>
      <c r="H1" s="2" t="s">
        <v>6</v>
      </c>
      <c r="I1" s="2" t="s">
        <v>10</v>
      </c>
      <c r="J1" s="1"/>
      <c r="K1" s="2" t="s">
        <v>9</v>
      </c>
      <c r="L1" s="2" t="s">
        <v>3</v>
      </c>
      <c r="M1" s="1"/>
      <c r="N1" s="10" t="s">
        <v>11</v>
      </c>
      <c r="O1" s="10" t="s">
        <v>3</v>
      </c>
    </row>
    <row r="2" spans="1:15" ht="15">
      <c r="A2" s="4" t="s">
        <v>332</v>
      </c>
      <c r="B2" s="4" t="s">
        <v>333</v>
      </c>
      <c r="C2" s="4">
        <v>128</v>
      </c>
      <c r="D2" s="4">
        <v>153</v>
      </c>
      <c r="E2" s="4">
        <v>163</v>
      </c>
      <c r="F2" s="4">
        <v>132</v>
      </c>
      <c r="G2" s="4">
        <v>122</v>
      </c>
      <c r="H2" s="4">
        <v>0</v>
      </c>
      <c r="I2" s="5">
        <f aca="true" t="shared" si="0" ref="I2:I65">SUM(C2:H2)</f>
        <v>698</v>
      </c>
      <c r="K2" s="4" t="s">
        <v>0</v>
      </c>
      <c r="L2" s="5">
        <f>SUM(C2:C9)</f>
        <v>822</v>
      </c>
      <c r="N2" s="9" t="str">
        <f>A2</f>
        <v xml:space="preserve">Alma College-Varsity </v>
      </c>
      <c r="O2" s="5">
        <f>SUM(L2:L7)</f>
        <v>4762</v>
      </c>
    </row>
    <row r="3" spans="1:15" ht="15">
      <c r="A3" s="4" t="s">
        <v>332</v>
      </c>
      <c r="B3" s="4" t="s">
        <v>334</v>
      </c>
      <c r="C3" s="4">
        <v>157</v>
      </c>
      <c r="D3" s="4">
        <v>175</v>
      </c>
      <c r="E3" s="4">
        <v>132</v>
      </c>
      <c r="F3" s="4">
        <v>197</v>
      </c>
      <c r="G3" s="4">
        <v>192</v>
      </c>
      <c r="H3" s="4">
        <v>134</v>
      </c>
      <c r="I3" s="5">
        <f t="shared" si="0"/>
        <v>987</v>
      </c>
      <c r="K3" s="4" t="s">
        <v>1</v>
      </c>
      <c r="L3" s="5">
        <f>SUM(D2:D9)</f>
        <v>789</v>
      </c>
      <c r="N3" s="9"/>
      <c r="O3" s="5"/>
    </row>
    <row r="4" spans="1:15" ht="15">
      <c r="A4" s="4" t="s">
        <v>332</v>
      </c>
      <c r="B4" s="4" t="s">
        <v>335</v>
      </c>
      <c r="C4" s="4">
        <v>153</v>
      </c>
      <c r="D4" s="4">
        <v>129</v>
      </c>
      <c r="E4" s="4">
        <v>0</v>
      </c>
      <c r="F4" s="4">
        <v>0</v>
      </c>
      <c r="G4" s="4">
        <v>134</v>
      </c>
      <c r="H4" s="4">
        <v>145</v>
      </c>
      <c r="I4" s="5">
        <f t="shared" si="0"/>
        <v>561</v>
      </c>
      <c r="K4" s="4" t="s">
        <v>2</v>
      </c>
      <c r="L4" s="5">
        <f>SUM(E2:E9)</f>
        <v>830</v>
      </c>
      <c r="N4" s="9"/>
      <c r="O4" s="5"/>
    </row>
    <row r="5" spans="1:15" ht="15">
      <c r="A5" s="4" t="s">
        <v>332</v>
      </c>
      <c r="B5" s="4" t="s">
        <v>336</v>
      </c>
      <c r="C5" s="4">
        <v>181</v>
      </c>
      <c r="D5" s="4">
        <v>197</v>
      </c>
      <c r="E5" s="4">
        <v>210</v>
      </c>
      <c r="F5" s="4">
        <v>143</v>
      </c>
      <c r="G5" s="4">
        <v>157</v>
      </c>
      <c r="H5" s="4">
        <v>175</v>
      </c>
      <c r="I5" s="5">
        <f t="shared" si="0"/>
        <v>1063</v>
      </c>
      <c r="K5" s="4" t="s">
        <v>4</v>
      </c>
      <c r="L5" s="5">
        <f>SUM(F2:F9)</f>
        <v>716</v>
      </c>
      <c r="N5" s="9"/>
      <c r="O5" s="5"/>
    </row>
    <row r="6" spans="1:15" ht="15">
      <c r="A6" s="4" t="s">
        <v>332</v>
      </c>
      <c r="B6" s="4" t="s">
        <v>337</v>
      </c>
      <c r="C6" s="4">
        <v>203</v>
      </c>
      <c r="D6" s="4">
        <v>135</v>
      </c>
      <c r="E6" s="4">
        <v>171</v>
      </c>
      <c r="F6" s="4">
        <v>157</v>
      </c>
      <c r="G6" s="4">
        <v>186</v>
      </c>
      <c r="H6" s="4">
        <v>216</v>
      </c>
      <c r="I6" s="5">
        <f t="shared" si="0"/>
        <v>1068</v>
      </c>
      <c r="K6" s="4" t="s">
        <v>5</v>
      </c>
      <c r="L6" s="5">
        <f>SUM(G2:G9)</f>
        <v>791</v>
      </c>
      <c r="N6" s="9"/>
      <c r="O6" s="5"/>
    </row>
    <row r="7" spans="1:15" ht="15">
      <c r="A7" s="4" t="s">
        <v>332</v>
      </c>
      <c r="B7" s="4" t="s">
        <v>338</v>
      </c>
      <c r="C7" s="4">
        <v>0</v>
      </c>
      <c r="D7" s="4">
        <v>0</v>
      </c>
      <c r="E7" s="4">
        <v>0</v>
      </c>
      <c r="F7" s="4">
        <v>87</v>
      </c>
      <c r="G7" s="4">
        <v>0</v>
      </c>
      <c r="H7" s="4">
        <v>0</v>
      </c>
      <c r="I7" s="5">
        <f t="shared" si="0"/>
        <v>87</v>
      </c>
      <c r="K7" s="4" t="s">
        <v>6</v>
      </c>
      <c r="L7" s="5">
        <f>SUM(H2:H9)</f>
        <v>814</v>
      </c>
      <c r="N7" s="9"/>
      <c r="O7" s="5"/>
    </row>
    <row r="8" spans="1:15" ht="15">
      <c r="A8" s="4" t="s">
        <v>332</v>
      </c>
      <c r="B8" s="4" t="s">
        <v>339</v>
      </c>
      <c r="C8" s="4">
        <v>0</v>
      </c>
      <c r="D8" s="4">
        <v>0</v>
      </c>
      <c r="E8" s="4">
        <v>154</v>
      </c>
      <c r="F8" s="4">
        <v>0</v>
      </c>
      <c r="G8" s="4">
        <v>0</v>
      </c>
      <c r="H8" s="4">
        <v>144</v>
      </c>
      <c r="I8" s="5">
        <f t="shared" si="0"/>
        <v>298</v>
      </c>
      <c r="K8" s="5"/>
      <c r="L8" s="5"/>
      <c r="N8" s="9"/>
      <c r="O8" s="5"/>
    </row>
    <row r="9" spans="1:15" ht="15">
      <c r="A9" s="4"/>
      <c r="B9" s="4"/>
      <c r="C9" s="4"/>
      <c r="D9" s="4"/>
      <c r="E9" s="4"/>
      <c r="F9" s="4"/>
      <c r="G9" s="4"/>
      <c r="H9" s="4"/>
      <c r="I9" s="5">
        <f t="shared" si="0"/>
        <v>0</v>
      </c>
      <c r="K9" s="4"/>
      <c r="L9" s="5"/>
      <c r="N9" s="9"/>
      <c r="O9" s="5"/>
    </row>
    <row r="10" spans="1:15" ht="15">
      <c r="A10" s="8" t="s">
        <v>340</v>
      </c>
      <c r="B10" s="8" t="s">
        <v>341</v>
      </c>
      <c r="C10" s="8">
        <v>192</v>
      </c>
      <c r="D10" s="8">
        <v>171</v>
      </c>
      <c r="E10" s="8">
        <v>140</v>
      </c>
      <c r="F10" s="8">
        <v>178</v>
      </c>
      <c r="G10" s="8">
        <v>184</v>
      </c>
      <c r="H10" s="8">
        <v>133</v>
      </c>
      <c r="I10" s="7">
        <f t="shared" si="0"/>
        <v>998</v>
      </c>
      <c r="K10" s="8" t="s">
        <v>0</v>
      </c>
      <c r="L10" s="7">
        <f>SUM(C10:C17)</f>
        <v>883</v>
      </c>
      <c r="N10" s="6" t="str">
        <f>A10</f>
        <v>Ball State University-Varsity</v>
      </c>
      <c r="O10" s="7">
        <f>SUM(L10:L15)</f>
        <v>4659</v>
      </c>
    </row>
    <row r="11" spans="1:15" ht="15">
      <c r="A11" s="8" t="s">
        <v>340</v>
      </c>
      <c r="B11" s="8" t="s">
        <v>342</v>
      </c>
      <c r="C11" s="8">
        <v>178</v>
      </c>
      <c r="D11" s="8">
        <v>164</v>
      </c>
      <c r="E11" s="8">
        <v>131</v>
      </c>
      <c r="F11" s="8">
        <v>129</v>
      </c>
      <c r="G11" s="8">
        <v>170</v>
      </c>
      <c r="H11" s="8">
        <v>135</v>
      </c>
      <c r="I11" s="7">
        <f t="shared" si="0"/>
        <v>907</v>
      </c>
      <c r="K11" s="8" t="s">
        <v>1</v>
      </c>
      <c r="L11" s="7">
        <f>SUM(D10:D17)</f>
        <v>802</v>
      </c>
      <c r="N11" s="6"/>
      <c r="O11" s="7"/>
    </row>
    <row r="12" spans="1:15" ht="15">
      <c r="A12" s="8" t="s">
        <v>340</v>
      </c>
      <c r="B12" s="8" t="s">
        <v>343</v>
      </c>
      <c r="C12" s="8">
        <v>210</v>
      </c>
      <c r="D12" s="8">
        <v>197</v>
      </c>
      <c r="E12" s="8">
        <v>111</v>
      </c>
      <c r="F12" s="8">
        <v>181</v>
      </c>
      <c r="G12" s="8">
        <v>166</v>
      </c>
      <c r="H12" s="8">
        <v>202</v>
      </c>
      <c r="I12" s="7">
        <f t="shared" si="0"/>
        <v>1067</v>
      </c>
      <c r="K12" s="8" t="s">
        <v>2</v>
      </c>
      <c r="L12" s="7">
        <f>SUM(E10:E17)</f>
        <v>639</v>
      </c>
      <c r="N12" s="6"/>
      <c r="O12" s="7"/>
    </row>
    <row r="13" spans="1:15" ht="15">
      <c r="A13" s="8" t="s">
        <v>340</v>
      </c>
      <c r="B13" s="8" t="s">
        <v>344</v>
      </c>
      <c r="C13" s="8">
        <v>110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7">
        <f t="shared" si="0"/>
        <v>110</v>
      </c>
      <c r="K13" s="8" t="s">
        <v>4</v>
      </c>
      <c r="L13" s="7">
        <f>SUM(F10:F17)</f>
        <v>759</v>
      </c>
      <c r="N13" s="6"/>
      <c r="O13" s="7"/>
    </row>
    <row r="14" spans="1:15" ht="15">
      <c r="A14" s="8" t="s">
        <v>340</v>
      </c>
      <c r="B14" s="8" t="s">
        <v>345</v>
      </c>
      <c r="C14" s="8">
        <v>0</v>
      </c>
      <c r="D14" s="8">
        <v>131</v>
      </c>
      <c r="E14" s="8">
        <v>140</v>
      </c>
      <c r="F14" s="8">
        <v>136</v>
      </c>
      <c r="G14" s="8">
        <v>169</v>
      </c>
      <c r="H14" s="8">
        <v>133</v>
      </c>
      <c r="I14" s="7">
        <f t="shared" si="0"/>
        <v>709</v>
      </c>
      <c r="K14" s="8" t="s">
        <v>5</v>
      </c>
      <c r="L14" s="7">
        <f>SUM(G10:G17)</f>
        <v>848</v>
      </c>
      <c r="N14" s="6"/>
      <c r="O14" s="7"/>
    </row>
    <row r="15" spans="1:15" ht="15">
      <c r="A15" s="8" t="s">
        <v>340</v>
      </c>
      <c r="B15" s="8" t="s">
        <v>346</v>
      </c>
      <c r="C15" s="8">
        <v>193</v>
      </c>
      <c r="D15" s="8">
        <v>139</v>
      </c>
      <c r="E15" s="8">
        <v>117</v>
      </c>
      <c r="F15" s="8">
        <v>0</v>
      </c>
      <c r="G15" s="8">
        <v>0</v>
      </c>
      <c r="H15" s="8">
        <v>0</v>
      </c>
      <c r="I15" s="7">
        <f t="shared" si="0"/>
        <v>449</v>
      </c>
      <c r="K15" s="8" t="s">
        <v>6</v>
      </c>
      <c r="L15" s="7">
        <f>SUM(H10:H17)</f>
        <v>728</v>
      </c>
      <c r="N15" s="6"/>
      <c r="O15" s="7"/>
    </row>
    <row r="16" spans="1:15" ht="15">
      <c r="A16" s="8" t="s">
        <v>340</v>
      </c>
      <c r="B16" s="8" t="s">
        <v>632</v>
      </c>
      <c r="C16" s="8">
        <v>0</v>
      </c>
      <c r="D16" s="8">
        <v>0</v>
      </c>
      <c r="E16" s="8">
        <v>0</v>
      </c>
      <c r="F16" s="8">
        <v>135</v>
      </c>
      <c r="G16" s="8">
        <v>159</v>
      </c>
      <c r="H16" s="8">
        <v>125</v>
      </c>
      <c r="I16" s="7">
        <f t="shared" si="0"/>
        <v>419</v>
      </c>
      <c r="K16" s="8"/>
      <c r="L16" s="7"/>
      <c r="N16" s="6"/>
      <c r="O16" s="7"/>
    </row>
    <row r="17" spans="1:15" ht="15">
      <c r="A17" s="8"/>
      <c r="B17" s="8"/>
      <c r="C17" s="8"/>
      <c r="D17" s="8"/>
      <c r="E17" s="8"/>
      <c r="F17" s="8"/>
      <c r="G17" s="8"/>
      <c r="H17" s="8"/>
      <c r="I17" s="7">
        <f t="shared" si="0"/>
        <v>0</v>
      </c>
      <c r="K17" s="8"/>
      <c r="L17" s="7"/>
      <c r="N17" s="6"/>
      <c r="O17" s="7"/>
    </row>
    <row r="18" spans="1:15" ht="15">
      <c r="A18" s="4" t="s">
        <v>17</v>
      </c>
      <c r="B18" s="4" t="s">
        <v>347</v>
      </c>
      <c r="C18" s="4">
        <v>181</v>
      </c>
      <c r="D18" s="4">
        <v>176</v>
      </c>
      <c r="E18" s="4">
        <v>165</v>
      </c>
      <c r="F18" s="4">
        <v>149</v>
      </c>
      <c r="G18" s="4">
        <v>153</v>
      </c>
      <c r="H18" s="4">
        <v>159</v>
      </c>
      <c r="I18" s="5">
        <f t="shared" si="0"/>
        <v>983</v>
      </c>
      <c r="K18" s="4" t="s">
        <v>0</v>
      </c>
      <c r="L18" s="5">
        <f>SUM(C18:C25)</f>
        <v>826</v>
      </c>
      <c r="N18" s="9" t="str">
        <f>A18</f>
        <v>Bowling Green State University-Varsity</v>
      </c>
      <c r="O18" s="5">
        <f>SUM(L18:L23)</f>
        <v>5282</v>
      </c>
    </row>
    <row r="19" spans="1:15" ht="15">
      <c r="A19" s="4" t="s">
        <v>17</v>
      </c>
      <c r="B19" s="4" t="s">
        <v>348</v>
      </c>
      <c r="C19" s="4">
        <v>166</v>
      </c>
      <c r="D19" s="4">
        <v>167</v>
      </c>
      <c r="E19" s="4">
        <v>193</v>
      </c>
      <c r="F19" s="4">
        <v>197</v>
      </c>
      <c r="G19" s="4">
        <v>147</v>
      </c>
      <c r="H19" s="4">
        <v>228</v>
      </c>
      <c r="I19" s="5">
        <f t="shared" si="0"/>
        <v>1098</v>
      </c>
      <c r="K19" s="4" t="s">
        <v>1</v>
      </c>
      <c r="L19" s="5">
        <f>SUM(D18:D25)</f>
        <v>866</v>
      </c>
      <c r="N19" s="9"/>
      <c r="O19" s="5"/>
    </row>
    <row r="20" spans="1:15" ht="15">
      <c r="A20" s="4" t="s">
        <v>17</v>
      </c>
      <c r="B20" s="4" t="s">
        <v>349</v>
      </c>
      <c r="C20" s="4">
        <v>146</v>
      </c>
      <c r="D20" s="4">
        <v>155</v>
      </c>
      <c r="E20" s="4">
        <v>227</v>
      </c>
      <c r="F20" s="4">
        <v>159</v>
      </c>
      <c r="G20" s="4">
        <v>193</v>
      </c>
      <c r="H20" s="4">
        <v>167</v>
      </c>
      <c r="I20" s="5">
        <f t="shared" si="0"/>
        <v>1047</v>
      </c>
      <c r="K20" s="4" t="s">
        <v>2</v>
      </c>
      <c r="L20" s="5">
        <f>SUM(E18:E25)</f>
        <v>925</v>
      </c>
      <c r="N20" s="9"/>
      <c r="O20" s="5"/>
    </row>
    <row r="21" spans="1:15" ht="15">
      <c r="A21" s="4" t="s">
        <v>17</v>
      </c>
      <c r="B21" s="4" t="s">
        <v>350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5">
        <f t="shared" si="0"/>
        <v>0</v>
      </c>
      <c r="K21" s="4" t="s">
        <v>4</v>
      </c>
      <c r="L21" s="5">
        <f>SUM(F18:F25)</f>
        <v>863</v>
      </c>
      <c r="N21" s="9"/>
      <c r="O21" s="5"/>
    </row>
    <row r="22" spans="1:15" ht="15">
      <c r="A22" s="4" t="s">
        <v>17</v>
      </c>
      <c r="B22" s="4" t="s">
        <v>351</v>
      </c>
      <c r="C22" s="4">
        <v>191</v>
      </c>
      <c r="D22" s="4">
        <v>199</v>
      </c>
      <c r="E22" s="4">
        <v>173</v>
      </c>
      <c r="F22" s="4">
        <v>142</v>
      </c>
      <c r="G22" s="4">
        <v>235</v>
      </c>
      <c r="H22" s="4">
        <v>214</v>
      </c>
      <c r="I22" s="5">
        <f t="shared" si="0"/>
        <v>1154</v>
      </c>
      <c r="K22" s="4" t="s">
        <v>5</v>
      </c>
      <c r="L22" s="5">
        <f>SUM(G18:G25)</f>
        <v>888</v>
      </c>
      <c r="N22" s="9"/>
      <c r="O22" s="5"/>
    </row>
    <row r="23" spans="1:15" ht="15">
      <c r="A23" s="4" t="s">
        <v>17</v>
      </c>
      <c r="B23" s="4" t="s">
        <v>352</v>
      </c>
      <c r="C23" s="4">
        <v>142</v>
      </c>
      <c r="D23" s="4">
        <v>169</v>
      </c>
      <c r="E23" s="4">
        <v>167</v>
      </c>
      <c r="F23" s="4">
        <v>216</v>
      </c>
      <c r="G23" s="4">
        <v>160</v>
      </c>
      <c r="H23" s="4">
        <v>146</v>
      </c>
      <c r="I23" s="5">
        <f t="shared" si="0"/>
        <v>1000</v>
      </c>
      <c r="K23" s="4" t="s">
        <v>6</v>
      </c>
      <c r="L23" s="5">
        <f>SUM(H18:H25)</f>
        <v>914</v>
      </c>
      <c r="N23" s="9"/>
      <c r="O23" s="5"/>
    </row>
    <row r="24" spans="1:15" ht="15">
      <c r="A24" s="4"/>
      <c r="B24" s="4"/>
      <c r="C24" s="4"/>
      <c r="D24" s="4"/>
      <c r="E24" s="4"/>
      <c r="F24" s="4"/>
      <c r="G24" s="4"/>
      <c r="H24" s="4"/>
      <c r="I24" s="5">
        <f t="shared" si="0"/>
        <v>0</v>
      </c>
      <c r="K24" s="5"/>
      <c r="L24" s="5"/>
      <c r="N24" s="9"/>
      <c r="O24" s="5"/>
    </row>
    <row r="25" spans="1:15" ht="15">
      <c r="A25" s="4"/>
      <c r="B25" s="4"/>
      <c r="C25" s="4"/>
      <c r="D25" s="4"/>
      <c r="E25" s="4"/>
      <c r="F25" s="4"/>
      <c r="G25" s="4"/>
      <c r="H25" s="4"/>
      <c r="I25" s="5">
        <f t="shared" si="0"/>
        <v>0</v>
      </c>
      <c r="K25" s="4"/>
      <c r="L25" s="5"/>
      <c r="N25" s="9"/>
      <c r="O25" s="5"/>
    </row>
    <row r="26" spans="1:15" ht="15">
      <c r="A26" s="8" t="s">
        <v>353</v>
      </c>
      <c r="B26" s="8" t="s">
        <v>354</v>
      </c>
      <c r="C26" s="8">
        <v>132</v>
      </c>
      <c r="D26" s="8">
        <v>133</v>
      </c>
      <c r="E26" s="8">
        <v>155</v>
      </c>
      <c r="F26" s="8">
        <v>121</v>
      </c>
      <c r="G26" s="8">
        <v>177</v>
      </c>
      <c r="H26" s="8">
        <v>152</v>
      </c>
      <c r="I26" s="7">
        <f t="shared" si="0"/>
        <v>870</v>
      </c>
      <c r="K26" s="8" t="s">
        <v>0</v>
      </c>
      <c r="L26" s="7">
        <f>SUM(C26:C33)</f>
        <v>750</v>
      </c>
      <c r="N26" s="6" t="str">
        <f>A26</f>
        <v>Bowling Green State University-Junior Varsity</v>
      </c>
      <c r="O26" s="7">
        <f>SUM(L26:L31)</f>
        <v>4376</v>
      </c>
    </row>
    <row r="27" spans="1:15" ht="15">
      <c r="A27" s="8" t="s">
        <v>353</v>
      </c>
      <c r="B27" s="8" t="s">
        <v>355</v>
      </c>
      <c r="C27" s="8">
        <v>171</v>
      </c>
      <c r="D27" s="8">
        <v>118</v>
      </c>
      <c r="E27" s="8">
        <v>181</v>
      </c>
      <c r="F27" s="8">
        <v>196</v>
      </c>
      <c r="G27" s="8">
        <v>135</v>
      </c>
      <c r="H27" s="8">
        <v>124</v>
      </c>
      <c r="I27" s="7">
        <f t="shared" si="0"/>
        <v>925</v>
      </c>
      <c r="K27" s="8" t="s">
        <v>1</v>
      </c>
      <c r="L27" s="7">
        <f>SUM(D26:D33)</f>
        <v>721</v>
      </c>
      <c r="N27" s="6"/>
      <c r="O27" s="7"/>
    </row>
    <row r="28" spans="1:15" ht="15">
      <c r="A28" s="8" t="s">
        <v>353</v>
      </c>
      <c r="B28" s="8" t="s">
        <v>356</v>
      </c>
      <c r="C28" s="8">
        <v>160</v>
      </c>
      <c r="D28" s="8">
        <v>157</v>
      </c>
      <c r="E28" s="8">
        <v>180</v>
      </c>
      <c r="F28" s="8">
        <v>169</v>
      </c>
      <c r="G28" s="8">
        <v>160</v>
      </c>
      <c r="H28" s="8">
        <v>112</v>
      </c>
      <c r="I28" s="7">
        <f t="shared" si="0"/>
        <v>938</v>
      </c>
      <c r="K28" s="8" t="s">
        <v>2</v>
      </c>
      <c r="L28" s="7">
        <f>SUM(E26:E33)</f>
        <v>791</v>
      </c>
      <c r="N28" s="6"/>
      <c r="O28" s="7"/>
    </row>
    <row r="29" spans="1:15" ht="15">
      <c r="A29" s="8" t="s">
        <v>353</v>
      </c>
      <c r="B29" s="8" t="s">
        <v>633</v>
      </c>
      <c r="C29" s="8">
        <v>174</v>
      </c>
      <c r="D29" s="8">
        <v>151</v>
      </c>
      <c r="E29" s="8">
        <v>160</v>
      </c>
      <c r="F29" s="8">
        <v>133</v>
      </c>
      <c r="G29" s="8">
        <v>147</v>
      </c>
      <c r="H29" s="8">
        <v>127</v>
      </c>
      <c r="I29" s="7">
        <f t="shared" si="0"/>
        <v>892</v>
      </c>
      <c r="K29" s="8" t="s">
        <v>4</v>
      </c>
      <c r="L29" s="7">
        <f>SUM(F26:F33)</f>
        <v>729</v>
      </c>
      <c r="N29" s="6"/>
      <c r="O29" s="7"/>
    </row>
    <row r="30" spans="1:15" ht="15">
      <c r="A30" s="8" t="s">
        <v>353</v>
      </c>
      <c r="B30" s="8" t="s">
        <v>357</v>
      </c>
      <c r="C30" s="8">
        <v>113</v>
      </c>
      <c r="D30" s="8">
        <v>162</v>
      </c>
      <c r="E30" s="8">
        <v>115</v>
      </c>
      <c r="F30" s="8">
        <v>110</v>
      </c>
      <c r="G30" s="8">
        <v>110</v>
      </c>
      <c r="H30" s="8">
        <v>141</v>
      </c>
      <c r="I30" s="7">
        <f t="shared" si="0"/>
        <v>751</v>
      </c>
      <c r="K30" s="8" t="s">
        <v>5</v>
      </c>
      <c r="L30" s="7">
        <f>SUM(G26:G33)</f>
        <v>729</v>
      </c>
      <c r="N30" s="6"/>
      <c r="O30" s="7"/>
    </row>
    <row r="31" spans="1:15" ht="15">
      <c r="A31" s="8"/>
      <c r="B31" s="8"/>
      <c r="C31" s="8"/>
      <c r="D31" s="8"/>
      <c r="E31" s="8"/>
      <c r="F31" s="8"/>
      <c r="G31" s="8"/>
      <c r="H31" s="8"/>
      <c r="I31" s="7">
        <f t="shared" si="0"/>
        <v>0</v>
      </c>
      <c r="K31" s="8" t="s">
        <v>6</v>
      </c>
      <c r="L31" s="7">
        <f>SUM(H26:H33)</f>
        <v>656</v>
      </c>
      <c r="N31" s="6"/>
      <c r="O31" s="7"/>
    </row>
    <row r="32" spans="1:15" ht="15">
      <c r="A32" s="8"/>
      <c r="B32" s="8"/>
      <c r="C32" s="8"/>
      <c r="D32" s="8"/>
      <c r="E32" s="8"/>
      <c r="F32" s="8"/>
      <c r="G32" s="8"/>
      <c r="H32" s="8"/>
      <c r="I32" s="7">
        <f t="shared" si="0"/>
        <v>0</v>
      </c>
      <c r="K32" s="8"/>
      <c r="L32" s="7"/>
      <c r="N32" s="6"/>
      <c r="O32" s="7"/>
    </row>
    <row r="33" spans="1:15" ht="15">
      <c r="A33" s="8"/>
      <c r="B33" s="8"/>
      <c r="C33" s="8"/>
      <c r="D33" s="8"/>
      <c r="E33" s="8"/>
      <c r="F33" s="8"/>
      <c r="G33" s="8"/>
      <c r="H33" s="8"/>
      <c r="I33" s="7">
        <f t="shared" si="0"/>
        <v>0</v>
      </c>
      <c r="K33" s="8"/>
      <c r="L33" s="7"/>
      <c r="N33" s="6"/>
      <c r="O33" s="7"/>
    </row>
    <row r="34" spans="1:15" ht="15">
      <c r="A34" s="4" t="s">
        <v>358</v>
      </c>
      <c r="B34" s="4" t="s">
        <v>359</v>
      </c>
      <c r="C34" s="4">
        <v>189</v>
      </c>
      <c r="D34" s="4">
        <v>188</v>
      </c>
      <c r="E34" s="4">
        <v>226</v>
      </c>
      <c r="F34" s="4">
        <v>153</v>
      </c>
      <c r="G34" s="4">
        <v>173</v>
      </c>
      <c r="H34" s="4">
        <v>149</v>
      </c>
      <c r="I34" s="5">
        <f t="shared" si="0"/>
        <v>1078</v>
      </c>
      <c r="K34" s="4" t="s">
        <v>0</v>
      </c>
      <c r="L34" s="5">
        <f>SUM(C34:C41)</f>
        <v>903</v>
      </c>
      <c r="N34" s="9" t="str">
        <f>A34</f>
        <v>Calumet College of St Joseph-Varsity</v>
      </c>
      <c r="O34" s="5">
        <f>SUM(L34:L39)</f>
        <v>5376</v>
      </c>
    </row>
    <row r="35" spans="1:15" ht="15">
      <c r="A35" s="4" t="s">
        <v>358</v>
      </c>
      <c r="B35" s="4" t="s">
        <v>360</v>
      </c>
      <c r="C35" s="4">
        <v>180</v>
      </c>
      <c r="D35" s="4">
        <v>173</v>
      </c>
      <c r="E35" s="4">
        <v>194</v>
      </c>
      <c r="F35" s="4">
        <v>192</v>
      </c>
      <c r="G35" s="4">
        <v>161</v>
      </c>
      <c r="H35" s="4">
        <v>168</v>
      </c>
      <c r="I35" s="5">
        <f t="shared" si="0"/>
        <v>1068</v>
      </c>
      <c r="K35" s="4" t="s">
        <v>1</v>
      </c>
      <c r="L35" s="5">
        <f>SUM(D34:D41)</f>
        <v>900</v>
      </c>
      <c r="N35" s="9"/>
      <c r="O35" s="5"/>
    </row>
    <row r="36" spans="1:15" ht="15">
      <c r="A36" s="4" t="s">
        <v>358</v>
      </c>
      <c r="B36" s="4" t="s">
        <v>361</v>
      </c>
      <c r="C36" s="4">
        <v>0</v>
      </c>
      <c r="D36" s="4">
        <v>0</v>
      </c>
      <c r="E36" s="4">
        <v>190</v>
      </c>
      <c r="F36" s="4">
        <v>204</v>
      </c>
      <c r="G36" s="4">
        <v>189</v>
      </c>
      <c r="H36" s="4">
        <v>185</v>
      </c>
      <c r="I36" s="5">
        <f t="shared" si="0"/>
        <v>768</v>
      </c>
      <c r="K36" s="4" t="s">
        <v>2</v>
      </c>
      <c r="L36" s="5">
        <f>SUM(E34:E41)</f>
        <v>947</v>
      </c>
      <c r="N36" s="9"/>
      <c r="O36" s="5"/>
    </row>
    <row r="37" spans="1:15" ht="15">
      <c r="A37" s="4" t="s">
        <v>358</v>
      </c>
      <c r="B37" s="4" t="s">
        <v>362</v>
      </c>
      <c r="C37" s="4">
        <v>158</v>
      </c>
      <c r="D37" s="4">
        <v>177</v>
      </c>
      <c r="E37" s="4">
        <v>164</v>
      </c>
      <c r="F37" s="4">
        <v>144</v>
      </c>
      <c r="G37" s="4">
        <v>0</v>
      </c>
      <c r="H37" s="4">
        <v>0</v>
      </c>
      <c r="I37" s="5">
        <f t="shared" si="0"/>
        <v>643</v>
      </c>
      <c r="K37" s="4" t="s">
        <v>4</v>
      </c>
      <c r="L37" s="5">
        <f>SUM(F34:F41)</f>
        <v>864</v>
      </c>
      <c r="N37" s="9"/>
      <c r="O37" s="5"/>
    </row>
    <row r="38" spans="1:15" ht="15">
      <c r="A38" s="4" t="s">
        <v>358</v>
      </c>
      <c r="B38" s="4" t="s">
        <v>363</v>
      </c>
      <c r="C38" s="4">
        <v>162</v>
      </c>
      <c r="D38" s="4">
        <v>171</v>
      </c>
      <c r="E38" s="4">
        <v>0</v>
      </c>
      <c r="F38" s="4">
        <v>0</v>
      </c>
      <c r="G38" s="4">
        <v>212</v>
      </c>
      <c r="H38" s="4">
        <v>161</v>
      </c>
      <c r="I38" s="5">
        <f t="shared" si="0"/>
        <v>706</v>
      </c>
      <c r="K38" s="4" t="s">
        <v>5</v>
      </c>
      <c r="L38" s="5">
        <f>SUM(G34:G41)</f>
        <v>946</v>
      </c>
      <c r="N38" s="9"/>
      <c r="O38" s="5"/>
    </row>
    <row r="39" spans="1:15" ht="15">
      <c r="A39" s="4" t="s">
        <v>358</v>
      </c>
      <c r="B39" s="4" t="s">
        <v>364</v>
      </c>
      <c r="C39" s="4">
        <v>214</v>
      </c>
      <c r="D39" s="4">
        <v>191</v>
      </c>
      <c r="E39" s="4">
        <v>173</v>
      </c>
      <c r="F39" s="4">
        <v>171</v>
      </c>
      <c r="G39" s="4">
        <v>211</v>
      </c>
      <c r="H39" s="4">
        <v>153</v>
      </c>
      <c r="I39" s="5">
        <f t="shared" si="0"/>
        <v>1113</v>
      </c>
      <c r="K39" s="4" t="s">
        <v>6</v>
      </c>
      <c r="L39" s="5">
        <f>SUM(H34:H41)</f>
        <v>816</v>
      </c>
      <c r="N39" s="9"/>
      <c r="O39" s="5"/>
    </row>
    <row r="40" spans="1:15" ht="15">
      <c r="A40" s="9"/>
      <c r="B40" s="4"/>
      <c r="C40" s="4"/>
      <c r="D40" s="4"/>
      <c r="E40" s="4"/>
      <c r="F40" s="4"/>
      <c r="G40" s="4"/>
      <c r="H40" s="4"/>
      <c r="I40" s="5">
        <f t="shared" si="0"/>
        <v>0</v>
      </c>
      <c r="K40" s="5"/>
      <c r="L40" s="5"/>
      <c r="N40" s="9"/>
      <c r="O40" s="5"/>
    </row>
    <row r="41" spans="1:15" ht="15">
      <c r="A41" s="9"/>
      <c r="B41" s="4"/>
      <c r="C41" s="4"/>
      <c r="D41" s="4"/>
      <c r="E41" s="4"/>
      <c r="F41" s="4"/>
      <c r="G41" s="4"/>
      <c r="H41" s="4"/>
      <c r="I41" s="5">
        <f t="shared" si="0"/>
        <v>0</v>
      </c>
      <c r="K41" s="4"/>
      <c r="L41" s="5"/>
      <c r="N41" s="9"/>
      <c r="O41" s="5"/>
    </row>
    <row r="42" spans="1:15" ht="15">
      <c r="A42" s="8" t="s">
        <v>365</v>
      </c>
      <c r="B42" s="8" t="s">
        <v>366</v>
      </c>
      <c r="C42" s="8">
        <v>134</v>
      </c>
      <c r="D42" s="8">
        <v>178</v>
      </c>
      <c r="E42" s="8">
        <v>175</v>
      </c>
      <c r="F42" s="8">
        <v>194</v>
      </c>
      <c r="G42" s="8">
        <v>175</v>
      </c>
      <c r="H42" s="8">
        <v>212</v>
      </c>
      <c r="I42" s="7">
        <f t="shared" si="0"/>
        <v>1068</v>
      </c>
      <c r="K42" s="8" t="s">
        <v>0</v>
      </c>
      <c r="L42" s="7">
        <f>SUM(C42:C49)</f>
        <v>692</v>
      </c>
      <c r="N42" s="6" t="str">
        <f>A42</f>
        <v>Calumet College of St Joseph-Junior Varsity</v>
      </c>
      <c r="O42" s="7">
        <f>SUM(L42:L47)</f>
        <v>4857</v>
      </c>
    </row>
    <row r="43" spans="1:15" ht="15">
      <c r="A43" s="8" t="s">
        <v>365</v>
      </c>
      <c r="B43" s="8" t="s">
        <v>367</v>
      </c>
      <c r="C43" s="8">
        <v>145</v>
      </c>
      <c r="D43" s="8">
        <v>150</v>
      </c>
      <c r="E43" s="8">
        <v>154</v>
      </c>
      <c r="F43" s="8">
        <v>182</v>
      </c>
      <c r="G43" s="8">
        <v>154</v>
      </c>
      <c r="H43" s="8">
        <v>158</v>
      </c>
      <c r="I43" s="7">
        <f t="shared" si="0"/>
        <v>943</v>
      </c>
      <c r="K43" s="8" t="s">
        <v>1</v>
      </c>
      <c r="L43" s="7">
        <f>SUM(D42:D49)</f>
        <v>790</v>
      </c>
      <c r="N43" s="6"/>
      <c r="O43" s="7"/>
    </row>
    <row r="44" spans="1:15" ht="15">
      <c r="A44" s="8" t="s">
        <v>365</v>
      </c>
      <c r="B44" s="8" t="s">
        <v>368</v>
      </c>
      <c r="C44" s="8">
        <v>163</v>
      </c>
      <c r="D44" s="8">
        <v>132</v>
      </c>
      <c r="E44" s="8">
        <v>171</v>
      </c>
      <c r="F44" s="8">
        <v>192</v>
      </c>
      <c r="G44" s="8">
        <v>136</v>
      </c>
      <c r="H44" s="8">
        <v>215</v>
      </c>
      <c r="I44" s="7">
        <f t="shared" si="0"/>
        <v>1009</v>
      </c>
      <c r="K44" s="8" t="s">
        <v>2</v>
      </c>
      <c r="L44" s="7">
        <f>SUM(E42:E49)</f>
        <v>787</v>
      </c>
      <c r="N44" s="6"/>
      <c r="O44" s="7"/>
    </row>
    <row r="45" spans="1:15" ht="15">
      <c r="A45" s="8" t="s">
        <v>365</v>
      </c>
      <c r="B45" s="8" t="s">
        <v>369</v>
      </c>
      <c r="C45" s="8">
        <v>112</v>
      </c>
      <c r="D45" s="8">
        <v>146</v>
      </c>
      <c r="E45" s="8">
        <v>121</v>
      </c>
      <c r="F45" s="8">
        <v>0</v>
      </c>
      <c r="G45" s="8">
        <v>190</v>
      </c>
      <c r="H45" s="8">
        <v>149</v>
      </c>
      <c r="I45" s="7">
        <f t="shared" si="0"/>
        <v>718</v>
      </c>
      <c r="K45" s="8" t="s">
        <v>4</v>
      </c>
      <c r="L45" s="7">
        <f>SUM(F42:F49)</f>
        <v>887</v>
      </c>
      <c r="N45" s="6"/>
      <c r="O45" s="7"/>
    </row>
    <row r="46" spans="1:15" ht="15">
      <c r="A46" s="8" t="s">
        <v>365</v>
      </c>
      <c r="B46" s="8" t="s">
        <v>370</v>
      </c>
      <c r="C46" s="8">
        <v>138</v>
      </c>
      <c r="D46" s="8">
        <v>184</v>
      </c>
      <c r="E46" s="8">
        <v>166</v>
      </c>
      <c r="F46" s="8">
        <v>187</v>
      </c>
      <c r="G46" s="8">
        <v>156</v>
      </c>
      <c r="H46" s="8">
        <v>156</v>
      </c>
      <c r="I46" s="7">
        <f t="shared" si="0"/>
        <v>987</v>
      </c>
      <c r="K46" s="8" t="s">
        <v>5</v>
      </c>
      <c r="L46" s="7">
        <f>SUM(G42:G49)</f>
        <v>811</v>
      </c>
      <c r="N46" s="6"/>
      <c r="O46" s="7"/>
    </row>
    <row r="47" spans="1:15" ht="15">
      <c r="A47" s="8" t="s">
        <v>365</v>
      </c>
      <c r="B47" s="8" t="s">
        <v>371</v>
      </c>
      <c r="C47" s="8">
        <v>0</v>
      </c>
      <c r="D47" s="8">
        <v>0</v>
      </c>
      <c r="E47" s="8">
        <v>0</v>
      </c>
      <c r="F47" s="8">
        <v>132</v>
      </c>
      <c r="G47" s="8">
        <v>0</v>
      </c>
      <c r="H47" s="8">
        <v>0</v>
      </c>
      <c r="I47" s="7">
        <f t="shared" si="0"/>
        <v>132</v>
      </c>
      <c r="K47" s="8" t="s">
        <v>6</v>
      </c>
      <c r="L47" s="7">
        <f>SUM(H42:H49)</f>
        <v>890</v>
      </c>
      <c r="N47" s="6"/>
      <c r="O47" s="7"/>
    </row>
    <row r="48" spans="1:15" ht="15">
      <c r="A48" s="8"/>
      <c r="B48" s="8"/>
      <c r="C48" s="8"/>
      <c r="D48" s="8"/>
      <c r="E48" s="8"/>
      <c r="F48" s="8"/>
      <c r="G48" s="8"/>
      <c r="H48" s="8"/>
      <c r="I48" s="7">
        <f t="shared" si="0"/>
        <v>0</v>
      </c>
      <c r="K48" s="8"/>
      <c r="L48" s="7"/>
      <c r="N48" s="6"/>
      <c r="O48" s="7"/>
    </row>
    <row r="49" spans="1:15" ht="15">
      <c r="A49" s="8"/>
      <c r="B49" s="8"/>
      <c r="C49" s="8"/>
      <c r="D49" s="8"/>
      <c r="E49" s="8"/>
      <c r="F49" s="8"/>
      <c r="G49" s="8"/>
      <c r="H49" s="8"/>
      <c r="I49" s="7">
        <f t="shared" si="0"/>
        <v>0</v>
      </c>
      <c r="K49" s="8"/>
      <c r="L49" s="7"/>
      <c r="N49" s="6"/>
      <c r="O49" s="7"/>
    </row>
    <row r="50" spans="1:15" ht="15">
      <c r="A50" s="4" t="s">
        <v>372</v>
      </c>
      <c r="B50" s="4" t="s">
        <v>585</v>
      </c>
      <c r="C50" s="4">
        <v>0</v>
      </c>
      <c r="D50" s="4">
        <v>0</v>
      </c>
      <c r="E50" s="4">
        <v>0</v>
      </c>
      <c r="F50" s="4">
        <v>118</v>
      </c>
      <c r="G50" s="4">
        <v>118</v>
      </c>
      <c r="H50" s="4">
        <v>0</v>
      </c>
      <c r="I50" s="5">
        <f t="shared" si="0"/>
        <v>236</v>
      </c>
      <c r="K50" s="4" t="s">
        <v>0</v>
      </c>
      <c r="L50" s="5">
        <f>SUM(C50:C57)</f>
        <v>779</v>
      </c>
      <c r="N50" s="9" t="str">
        <f>A50</f>
        <v>Campbellsville University-Junior Varsity</v>
      </c>
      <c r="O50" s="5">
        <f>SUM(L50:L55)</f>
        <v>4137</v>
      </c>
    </row>
    <row r="51" spans="1:15" ht="15">
      <c r="A51" s="4" t="s">
        <v>372</v>
      </c>
      <c r="B51" s="4" t="s">
        <v>377</v>
      </c>
      <c r="C51" s="4">
        <v>219</v>
      </c>
      <c r="D51" s="4">
        <v>146</v>
      </c>
      <c r="E51" s="4">
        <v>130</v>
      </c>
      <c r="F51" s="4">
        <v>122</v>
      </c>
      <c r="G51" s="4">
        <v>133</v>
      </c>
      <c r="H51" s="4">
        <v>143</v>
      </c>
      <c r="I51" s="5">
        <f t="shared" si="0"/>
        <v>893</v>
      </c>
      <c r="K51" s="4" t="s">
        <v>1</v>
      </c>
      <c r="L51" s="5">
        <f>SUM(D50:D57)</f>
        <v>736</v>
      </c>
      <c r="N51" s="9"/>
      <c r="O51" s="5"/>
    </row>
    <row r="52" spans="1:15" ht="15">
      <c r="A52" s="4" t="s">
        <v>372</v>
      </c>
      <c r="B52" s="4" t="s">
        <v>378</v>
      </c>
      <c r="C52" s="4">
        <v>114</v>
      </c>
      <c r="D52" s="4">
        <v>158</v>
      </c>
      <c r="E52" s="4">
        <v>93</v>
      </c>
      <c r="F52" s="4">
        <v>0</v>
      </c>
      <c r="G52" s="4">
        <v>0</v>
      </c>
      <c r="H52" s="4">
        <v>99</v>
      </c>
      <c r="I52" s="5">
        <f t="shared" si="0"/>
        <v>464</v>
      </c>
      <c r="K52" s="4" t="s">
        <v>2</v>
      </c>
      <c r="L52" s="5">
        <f>SUM(E50:E57)</f>
        <v>671</v>
      </c>
      <c r="N52" s="9"/>
      <c r="O52" s="5"/>
    </row>
    <row r="53" spans="1:15" ht="15">
      <c r="A53" s="4" t="s">
        <v>372</v>
      </c>
      <c r="B53" s="4" t="s">
        <v>376</v>
      </c>
      <c r="C53" s="4">
        <v>111</v>
      </c>
      <c r="D53" s="4">
        <v>147</v>
      </c>
      <c r="E53" s="4">
        <v>130</v>
      </c>
      <c r="F53" s="4">
        <v>140</v>
      </c>
      <c r="G53" s="4">
        <v>117</v>
      </c>
      <c r="H53" s="4">
        <v>117</v>
      </c>
      <c r="I53" s="5">
        <f t="shared" si="0"/>
        <v>762</v>
      </c>
      <c r="K53" s="4" t="s">
        <v>4</v>
      </c>
      <c r="L53" s="5">
        <f>SUM(F50:F57)</f>
        <v>660</v>
      </c>
      <c r="N53" s="9"/>
      <c r="O53" s="5"/>
    </row>
    <row r="54" spans="1:15" ht="15">
      <c r="A54" s="4" t="s">
        <v>372</v>
      </c>
      <c r="B54" s="4" t="s">
        <v>373</v>
      </c>
      <c r="C54" s="4">
        <v>191</v>
      </c>
      <c r="D54" s="4">
        <v>148</v>
      </c>
      <c r="E54" s="4">
        <v>151</v>
      </c>
      <c r="F54" s="4">
        <v>154</v>
      </c>
      <c r="G54" s="4">
        <v>156</v>
      </c>
      <c r="H54" s="4">
        <v>160</v>
      </c>
      <c r="I54" s="5">
        <f t="shared" si="0"/>
        <v>960</v>
      </c>
      <c r="K54" s="4" t="s">
        <v>5</v>
      </c>
      <c r="L54" s="5">
        <f>SUM(G50:G57)</f>
        <v>648</v>
      </c>
      <c r="N54" s="9"/>
      <c r="O54" s="5"/>
    </row>
    <row r="55" spans="1:15" ht="15">
      <c r="A55" s="4" t="s">
        <v>372</v>
      </c>
      <c r="B55" s="4" t="s">
        <v>374</v>
      </c>
      <c r="C55" s="4">
        <v>144</v>
      </c>
      <c r="D55" s="4">
        <v>137</v>
      </c>
      <c r="E55" s="4">
        <v>167</v>
      </c>
      <c r="F55" s="4">
        <v>126</v>
      </c>
      <c r="G55" s="4">
        <v>124</v>
      </c>
      <c r="H55" s="4">
        <v>124</v>
      </c>
      <c r="I55" s="5">
        <f t="shared" si="0"/>
        <v>822</v>
      </c>
      <c r="K55" s="4" t="s">
        <v>6</v>
      </c>
      <c r="L55" s="5">
        <f>SUM(H50:H57)</f>
        <v>643</v>
      </c>
      <c r="N55" s="9"/>
      <c r="O55" s="5"/>
    </row>
    <row r="56" spans="1:15" ht="15">
      <c r="A56" s="4"/>
      <c r="B56" s="4"/>
      <c r="C56" s="4"/>
      <c r="D56" s="4"/>
      <c r="E56" s="4"/>
      <c r="F56" s="4"/>
      <c r="G56" s="4"/>
      <c r="H56" s="4"/>
      <c r="I56" s="5">
        <f t="shared" si="0"/>
        <v>0</v>
      </c>
      <c r="K56" s="5"/>
      <c r="L56" s="5"/>
      <c r="N56" s="9"/>
      <c r="O56" s="5"/>
    </row>
    <row r="57" spans="1:15" ht="15">
      <c r="A57" s="9"/>
      <c r="B57" s="4"/>
      <c r="C57" s="4"/>
      <c r="D57" s="4"/>
      <c r="E57" s="4"/>
      <c r="F57" s="4"/>
      <c r="G57" s="4"/>
      <c r="H57" s="4"/>
      <c r="I57" s="5">
        <f t="shared" si="0"/>
        <v>0</v>
      </c>
      <c r="K57" s="4"/>
      <c r="L57" s="5"/>
      <c r="N57" s="9"/>
      <c r="O57" s="5"/>
    </row>
    <row r="58" spans="1:15" ht="15">
      <c r="A58" s="8" t="s">
        <v>379</v>
      </c>
      <c r="B58" s="8" t="s">
        <v>584</v>
      </c>
      <c r="C58" s="8">
        <v>137</v>
      </c>
      <c r="D58" s="8">
        <v>0</v>
      </c>
      <c r="E58" s="8">
        <v>0</v>
      </c>
      <c r="F58" s="8">
        <v>175</v>
      </c>
      <c r="G58" s="8">
        <v>165</v>
      </c>
      <c r="H58" s="8">
        <v>192</v>
      </c>
      <c r="I58" s="7">
        <f t="shared" si="0"/>
        <v>669</v>
      </c>
      <c r="K58" s="8" t="s">
        <v>0</v>
      </c>
      <c r="L58" s="7">
        <f>SUM(C58:C65)</f>
        <v>837</v>
      </c>
      <c r="N58" s="6" t="str">
        <f>A58</f>
        <v>Campbellsville University-Varsity</v>
      </c>
      <c r="O58" s="7">
        <f>SUM(L58:L63)</f>
        <v>5003</v>
      </c>
    </row>
    <row r="59" spans="1:15" ht="15">
      <c r="A59" s="8" t="s">
        <v>379</v>
      </c>
      <c r="B59" s="8" t="s">
        <v>382</v>
      </c>
      <c r="C59" s="8">
        <v>192</v>
      </c>
      <c r="D59" s="8">
        <v>162</v>
      </c>
      <c r="E59" s="8">
        <v>171</v>
      </c>
      <c r="F59" s="8">
        <v>152</v>
      </c>
      <c r="G59" s="8">
        <v>149</v>
      </c>
      <c r="H59" s="8">
        <v>165</v>
      </c>
      <c r="I59" s="7">
        <f t="shared" si="0"/>
        <v>991</v>
      </c>
      <c r="K59" s="8" t="s">
        <v>1</v>
      </c>
      <c r="L59" s="7">
        <f>SUM(D58:D65)</f>
        <v>868</v>
      </c>
      <c r="N59" s="6"/>
      <c r="O59" s="7"/>
    </row>
    <row r="60" spans="1:15" ht="15">
      <c r="A60" s="8" t="s">
        <v>379</v>
      </c>
      <c r="B60" s="8" t="s">
        <v>381</v>
      </c>
      <c r="C60" s="8">
        <v>153</v>
      </c>
      <c r="D60" s="8">
        <v>192</v>
      </c>
      <c r="E60" s="8">
        <v>164</v>
      </c>
      <c r="F60" s="8">
        <v>140</v>
      </c>
      <c r="G60" s="8">
        <v>0</v>
      </c>
      <c r="H60" s="8">
        <v>0</v>
      </c>
      <c r="I60" s="7">
        <f t="shared" si="0"/>
        <v>649</v>
      </c>
      <c r="K60" s="8" t="s">
        <v>2</v>
      </c>
      <c r="L60" s="7">
        <f>SUM(E58:E65)</f>
        <v>835</v>
      </c>
      <c r="N60" s="6"/>
      <c r="O60" s="7"/>
    </row>
    <row r="61" spans="1:15" ht="15">
      <c r="A61" s="8" t="s">
        <v>379</v>
      </c>
      <c r="B61" s="8" t="s">
        <v>383</v>
      </c>
      <c r="C61" s="8">
        <v>0</v>
      </c>
      <c r="D61" s="8">
        <v>171</v>
      </c>
      <c r="E61" s="8">
        <v>150</v>
      </c>
      <c r="F61" s="8">
        <v>0</v>
      </c>
      <c r="G61" s="8">
        <v>0</v>
      </c>
      <c r="H61" s="8">
        <v>0</v>
      </c>
      <c r="I61" s="7">
        <f t="shared" si="0"/>
        <v>321</v>
      </c>
      <c r="K61" s="8" t="s">
        <v>4</v>
      </c>
      <c r="L61" s="7">
        <f>SUM(F58:F65)</f>
        <v>802</v>
      </c>
      <c r="N61" s="6"/>
      <c r="O61" s="7"/>
    </row>
    <row r="62" spans="1:15" ht="15">
      <c r="A62" s="8" t="s">
        <v>379</v>
      </c>
      <c r="B62" s="8" t="s">
        <v>384</v>
      </c>
      <c r="C62" s="8">
        <v>162</v>
      </c>
      <c r="D62" s="8">
        <v>132</v>
      </c>
      <c r="E62" s="8">
        <v>162</v>
      </c>
      <c r="F62" s="8">
        <v>167</v>
      </c>
      <c r="G62" s="8">
        <v>162</v>
      </c>
      <c r="H62" s="8">
        <v>127</v>
      </c>
      <c r="I62" s="7">
        <f t="shared" si="0"/>
        <v>912</v>
      </c>
      <c r="K62" s="8" t="s">
        <v>5</v>
      </c>
      <c r="L62" s="7">
        <f>SUM(G58:G65)</f>
        <v>819</v>
      </c>
      <c r="N62" s="6"/>
      <c r="O62" s="7"/>
    </row>
    <row r="63" spans="1:15" ht="15">
      <c r="A63" s="8" t="s">
        <v>379</v>
      </c>
      <c r="B63" s="8" t="s">
        <v>380</v>
      </c>
      <c r="C63" s="8">
        <v>193</v>
      </c>
      <c r="D63" s="8">
        <v>211</v>
      </c>
      <c r="E63" s="8">
        <v>188</v>
      </c>
      <c r="F63" s="8">
        <v>168</v>
      </c>
      <c r="G63" s="8">
        <v>202</v>
      </c>
      <c r="H63" s="8">
        <v>211</v>
      </c>
      <c r="I63" s="7">
        <f t="shared" si="0"/>
        <v>1173</v>
      </c>
      <c r="K63" s="8" t="s">
        <v>6</v>
      </c>
      <c r="L63" s="7">
        <f>SUM(H58:H65)</f>
        <v>842</v>
      </c>
      <c r="N63" s="6"/>
      <c r="O63" s="7"/>
    </row>
    <row r="64" spans="1:15" ht="15">
      <c r="A64" s="8" t="s">
        <v>379</v>
      </c>
      <c r="B64" s="8" t="s">
        <v>375</v>
      </c>
      <c r="C64" s="8">
        <v>0</v>
      </c>
      <c r="D64" s="8">
        <v>0</v>
      </c>
      <c r="E64" s="8">
        <v>0</v>
      </c>
      <c r="F64" s="8">
        <v>0</v>
      </c>
      <c r="G64" s="8">
        <v>141</v>
      </c>
      <c r="H64" s="8">
        <v>147</v>
      </c>
      <c r="I64" s="7">
        <f t="shared" si="0"/>
        <v>288</v>
      </c>
      <c r="K64" s="8"/>
      <c r="L64" s="7"/>
      <c r="N64" s="6"/>
      <c r="O64" s="7"/>
    </row>
    <row r="65" spans="1:15" ht="15">
      <c r="A65" s="8"/>
      <c r="B65" s="8"/>
      <c r="C65" s="8"/>
      <c r="D65" s="8"/>
      <c r="E65" s="8"/>
      <c r="F65" s="8"/>
      <c r="G65" s="8"/>
      <c r="H65" s="8"/>
      <c r="I65" s="7">
        <f t="shared" si="0"/>
        <v>0</v>
      </c>
      <c r="K65" s="8"/>
      <c r="L65" s="7"/>
      <c r="N65" s="6"/>
      <c r="O65" s="7"/>
    </row>
    <row r="66" spans="1:15" ht="15">
      <c r="A66" s="4" t="s">
        <v>385</v>
      </c>
      <c r="B66" s="4" t="s">
        <v>386</v>
      </c>
      <c r="C66" s="4">
        <v>149</v>
      </c>
      <c r="D66" s="4">
        <v>158</v>
      </c>
      <c r="E66" s="4">
        <v>182</v>
      </c>
      <c r="F66" s="4">
        <v>0</v>
      </c>
      <c r="G66" s="4">
        <v>177</v>
      </c>
      <c r="H66" s="4">
        <v>146</v>
      </c>
      <c r="I66" s="5">
        <f aca="true" t="shared" si="1" ref="I66:I129">SUM(C66:H66)</f>
        <v>812</v>
      </c>
      <c r="K66" s="4" t="s">
        <v>0</v>
      </c>
      <c r="L66" s="5">
        <f>SUM(C66:C73)</f>
        <v>843</v>
      </c>
      <c r="N66" s="9" t="str">
        <f>A66</f>
        <v>Elmhurst College-Vasrity</v>
      </c>
      <c r="O66" s="5">
        <f>SUM(L66:L71)</f>
        <v>5063</v>
      </c>
    </row>
    <row r="67" spans="1:15" ht="15">
      <c r="A67" s="4" t="s">
        <v>385</v>
      </c>
      <c r="B67" s="4" t="s">
        <v>387</v>
      </c>
      <c r="C67" s="4">
        <v>176</v>
      </c>
      <c r="D67" s="4">
        <v>177</v>
      </c>
      <c r="E67" s="4">
        <v>189</v>
      </c>
      <c r="F67" s="4">
        <v>151</v>
      </c>
      <c r="G67" s="4">
        <v>153</v>
      </c>
      <c r="H67" s="4">
        <v>143</v>
      </c>
      <c r="I67" s="5">
        <f t="shared" si="1"/>
        <v>989</v>
      </c>
      <c r="K67" s="4" t="s">
        <v>1</v>
      </c>
      <c r="L67" s="5">
        <f>SUM(D66:D73)</f>
        <v>812</v>
      </c>
      <c r="N67" s="9"/>
      <c r="O67" s="5"/>
    </row>
    <row r="68" spans="1:15" ht="15">
      <c r="A68" s="4" t="s">
        <v>385</v>
      </c>
      <c r="B68" s="4" t="s">
        <v>388</v>
      </c>
      <c r="C68" s="4">
        <v>0</v>
      </c>
      <c r="D68" s="4">
        <v>0</v>
      </c>
      <c r="E68" s="4">
        <v>149</v>
      </c>
      <c r="F68" s="4">
        <v>148</v>
      </c>
      <c r="G68" s="4">
        <v>0</v>
      </c>
      <c r="H68" s="4">
        <v>156</v>
      </c>
      <c r="I68" s="5">
        <f t="shared" si="1"/>
        <v>453</v>
      </c>
      <c r="K68" s="4" t="s">
        <v>2</v>
      </c>
      <c r="L68" s="5">
        <f>SUM(E66:E73)</f>
        <v>864</v>
      </c>
      <c r="N68" s="9"/>
      <c r="O68" s="5"/>
    </row>
    <row r="69" spans="1:15" ht="15">
      <c r="A69" s="4" t="s">
        <v>385</v>
      </c>
      <c r="B69" s="4" t="s">
        <v>389</v>
      </c>
      <c r="C69" s="4">
        <v>191</v>
      </c>
      <c r="D69" s="4">
        <v>178</v>
      </c>
      <c r="E69" s="4">
        <v>161</v>
      </c>
      <c r="F69" s="4">
        <v>218</v>
      </c>
      <c r="G69" s="4">
        <v>153</v>
      </c>
      <c r="H69" s="4">
        <v>204</v>
      </c>
      <c r="I69" s="5">
        <f t="shared" si="1"/>
        <v>1105</v>
      </c>
      <c r="K69" s="4" t="s">
        <v>4</v>
      </c>
      <c r="L69" s="5">
        <f>SUM(F66:F73)</f>
        <v>871</v>
      </c>
      <c r="N69" s="9"/>
      <c r="O69" s="5"/>
    </row>
    <row r="70" spans="1:15" ht="15">
      <c r="A70" s="4" t="s">
        <v>385</v>
      </c>
      <c r="B70" s="4" t="s">
        <v>390</v>
      </c>
      <c r="C70" s="4">
        <v>153</v>
      </c>
      <c r="D70" s="4">
        <v>166</v>
      </c>
      <c r="E70" s="4">
        <v>183</v>
      </c>
      <c r="F70" s="4">
        <v>178</v>
      </c>
      <c r="G70" s="4">
        <v>157</v>
      </c>
      <c r="H70" s="4">
        <v>0</v>
      </c>
      <c r="I70" s="5">
        <f t="shared" si="1"/>
        <v>837</v>
      </c>
      <c r="K70" s="4" t="s">
        <v>5</v>
      </c>
      <c r="L70" s="5">
        <f>SUM(G66:G73)</f>
        <v>833</v>
      </c>
      <c r="N70" s="9"/>
      <c r="O70" s="5"/>
    </row>
    <row r="71" spans="1:15" ht="15">
      <c r="A71" s="4" t="s">
        <v>385</v>
      </c>
      <c r="B71" s="4" t="s">
        <v>391</v>
      </c>
      <c r="C71" s="4">
        <v>174</v>
      </c>
      <c r="D71" s="4">
        <v>133</v>
      </c>
      <c r="E71" s="4">
        <v>0</v>
      </c>
      <c r="F71" s="4">
        <v>176</v>
      </c>
      <c r="G71" s="4">
        <v>193</v>
      </c>
      <c r="H71" s="4">
        <v>191</v>
      </c>
      <c r="I71" s="5">
        <f t="shared" si="1"/>
        <v>867</v>
      </c>
      <c r="K71" s="4" t="s">
        <v>6</v>
      </c>
      <c r="L71" s="5">
        <f>SUM(H66:H73)</f>
        <v>840</v>
      </c>
      <c r="N71" s="9"/>
      <c r="O71" s="5"/>
    </row>
    <row r="72" spans="1:15" ht="15">
      <c r="A72" s="9"/>
      <c r="B72" s="4"/>
      <c r="C72" s="4"/>
      <c r="D72" s="4"/>
      <c r="E72" s="4"/>
      <c r="F72" s="4"/>
      <c r="G72" s="4"/>
      <c r="H72" s="4"/>
      <c r="I72" s="5">
        <f t="shared" si="1"/>
        <v>0</v>
      </c>
      <c r="K72" s="5"/>
      <c r="L72" s="5"/>
      <c r="N72" s="9"/>
      <c r="O72" s="5"/>
    </row>
    <row r="73" spans="1:15" ht="15">
      <c r="A73" s="9"/>
      <c r="B73" s="4"/>
      <c r="C73" s="4"/>
      <c r="D73" s="4"/>
      <c r="E73" s="4"/>
      <c r="F73" s="4"/>
      <c r="G73" s="4"/>
      <c r="H73" s="4"/>
      <c r="I73" s="5">
        <f t="shared" si="1"/>
        <v>0</v>
      </c>
      <c r="K73" s="4"/>
      <c r="L73" s="5"/>
      <c r="N73" s="9"/>
      <c r="O73" s="5"/>
    </row>
    <row r="74" spans="1:15" ht="15">
      <c r="A74" s="8" t="s">
        <v>35</v>
      </c>
      <c r="B74" s="8" t="s">
        <v>392</v>
      </c>
      <c r="C74" s="8">
        <v>171</v>
      </c>
      <c r="D74" s="8">
        <v>148</v>
      </c>
      <c r="E74" s="8">
        <v>214</v>
      </c>
      <c r="F74" s="8">
        <v>170</v>
      </c>
      <c r="G74" s="8">
        <v>147</v>
      </c>
      <c r="H74" s="8">
        <v>223</v>
      </c>
      <c r="I74" s="7">
        <f t="shared" si="1"/>
        <v>1073</v>
      </c>
      <c r="K74" s="8" t="s">
        <v>0</v>
      </c>
      <c r="L74" s="7">
        <f>SUM(C74:C81)</f>
        <v>835</v>
      </c>
      <c r="N74" s="6" t="str">
        <f>A74</f>
        <v>Huntington University-Varsity</v>
      </c>
      <c r="O74" s="7">
        <f>SUM(L74:L79)</f>
        <v>5373</v>
      </c>
    </row>
    <row r="75" spans="1:15" ht="15">
      <c r="A75" s="8" t="s">
        <v>35</v>
      </c>
      <c r="B75" s="8" t="s">
        <v>393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7">
        <f t="shared" si="1"/>
        <v>0</v>
      </c>
      <c r="K75" s="8" t="s">
        <v>1</v>
      </c>
      <c r="L75" s="7">
        <f>SUM(D74:D81)</f>
        <v>798</v>
      </c>
      <c r="N75" s="6"/>
      <c r="O75" s="7"/>
    </row>
    <row r="76" spans="1:15" ht="15">
      <c r="A76" s="8" t="s">
        <v>35</v>
      </c>
      <c r="B76" s="8" t="s">
        <v>394</v>
      </c>
      <c r="C76" s="8">
        <v>193</v>
      </c>
      <c r="D76" s="8">
        <v>182</v>
      </c>
      <c r="E76" s="8">
        <v>162</v>
      </c>
      <c r="F76" s="8">
        <v>195</v>
      </c>
      <c r="G76" s="8">
        <v>215</v>
      </c>
      <c r="H76" s="8">
        <v>206</v>
      </c>
      <c r="I76" s="7">
        <f t="shared" si="1"/>
        <v>1153</v>
      </c>
      <c r="K76" s="8" t="s">
        <v>2</v>
      </c>
      <c r="L76" s="7">
        <f>SUM(E74:E81)</f>
        <v>880</v>
      </c>
      <c r="N76" s="6"/>
      <c r="O76" s="7"/>
    </row>
    <row r="77" spans="1:15" ht="15">
      <c r="A77" s="8" t="s">
        <v>35</v>
      </c>
      <c r="B77" s="8" t="s">
        <v>395</v>
      </c>
      <c r="C77" s="8">
        <v>173</v>
      </c>
      <c r="D77" s="8">
        <v>175</v>
      </c>
      <c r="E77" s="8">
        <v>187</v>
      </c>
      <c r="F77" s="8">
        <v>202</v>
      </c>
      <c r="G77" s="8">
        <v>203</v>
      </c>
      <c r="H77" s="8">
        <v>182</v>
      </c>
      <c r="I77" s="7">
        <f t="shared" si="1"/>
        <v>1122</v>
      </c>
      <c r="K77" s="8" t="s">
        <v>4</v>
      </c>
      <c r="L77" s="7">
        <f>SUM(F74:F81)</f>
        <v>990</v>
      </c>
      <c r="N77" s="6"/>
      <c r="O77" s="7"/>
    </row>
    <row r="78" spans="1:15" ht="15">
      <c r="A78" s="8" t="s">
        <v>35</v>
      </c>
      <c r="B78" s="8" t="s">
        <v>396</v>
      </c>
      <c r="C78" s="8">
        <v>134</v>
      </c>
      <c r="D78" s="8">
        <v>142</v>
      </c>
      <c r="E78" s="8">
        <v>161</v>
      </c>
      <c r="F78" s="8">
        <v>221</v>
      </c>
      <c r="G78" s="8">
        <v>167</v>
      </c>
      <c r="H78" s="8">
        <v>179</v>
      </c>
      <c r="I78" s="7">
        <f t="shared" si="1"/>
        <v>1004</v>
      </c>
      <c r="K78" s="8" t="s">
        <v>5</v>
      </c>
      <c r="L78" s="7">
        <f>SUM(G74:G81)</f>
        <v>903</v>
      </c>
      <c r="N78" s="6"/>
      <c r="O78" s="7"/>
    </row>
    <row r="79" spans="1:15" ht="15">
      <c r="A79" s="8" t="s">
        <v>35</v>
      </c>
      <c r="B79" s="8" t="s">
        <v>397</v>
      </c>
      <c r="C79" s="8">
        <v>164</v>
      </c>
      <c r="D79" s="8">
        <v>151</v>
      </c>
      <c r="E79" s="8">
        <v>156</v>
      </c>
      <c r="F79" s="8">
        <v>202</v>
      </c>
      <c r="G79" s="8">
        <v>171</v>
      </c>
      <c r="H79" s="8">
        <v>177</v>
      </c>
      <c r="I79" s="7">
        <f t="shared" si="1"/>
        <v>1021</v>
      </c>
      <c r="K79" s="8" t="s">
        <v>6</v>
      </c>
      <c r="L79" s="7">
        <f>SUM(H74:H81)</f>
        <v>967</v>
      </c>
      <c r="N79" s="6"/>
      <c r="O79" s="7"/>
    </row>
    <row r="80" spans="1:15" ht="15">
      <c r="A80" s="8"/>
      <c r="B80" s="8"/>
      <c r="C80" s="8"/>
      <c r="D80" s="8"/>
      <c r="E80" s="8"/>
      <c r="F80" s="8"/>
      <c r="G80" s="8"/>
      <c r="H80" s="8"/>
      <c r="I80" s="7">
        <f t="shared" si="1"/>
        <v>0</v>
      </c>
      <c r="K80" s="8"/>
      <c r="L80" s="7"/>
      <c r="N80" s="6"/>
      <c r="O80" s="7"/>
    </row>
    <row r="81" spans="1:15" ht="15">
      <c r="A81" s="8"/>
      <c r="B81" s="8"/>
      <c r="C81" s="8"/>
      <c r="D81" s="8"/>
      <c r="E81" s="8"/>
      <c r="F81" s="8"/>
      <c r="G81" s="8"/>
      <c r="H81" s="8"/>
      <c r="I81" s="7">
        <f t="shared" si="1"/>
        <v>0</v>
      </c>
      <c r="K81" s="8"/>
      <c r="L81" s="7"/>
      <c r="N81" s="6"/>
      <c r="O81" s="7"/>
    </row>
    <row r="82" spans="1:15" ht="15">
      <c r="A82" s="4" t="s">
        <v>398</v>
      </c>
      <c r="B82" s="4" t="s">
        <v>399</v>
      </c>
      <c r="C82" s="4">
        <v>110</v>
      </c>
      <c r="D82" s="4">
        <v>114</v>
      </c>
      <c r="E82" s="4">
        <v>137</v>
      </c>
      <c r="F82" s="4">
        <v>127</v>
      </c>
      <c r="G82" s="4">
        <v>176</v>
      </c>
      <c r="H82" s="4">
        <v>106</v>
      </c>
      <c r="I82" s="5">
        <f t="shared" si="1"/>
        <v>770</v>
      </c>
      <c r="K82" s="4" t="s">
        <v>0</v>
      </c>
      <c r="L82" s="5">
        <f>SUM(C82:C89)</f>
        <v>659</v>
      </c>
      <c r="N82" s="9" t="str">
        <f>A82</f>
        <v>Huntington University-Junior Varsity</v>
      </c>
      <c r="O82" s="5">
        <f>SUM(L82:L87)</f>
        <v>4248</v>
      </c>
    </row>
    <row r="83" spans="1:15" ht="15">
      <c r="A83" s="4" t="s">
        <v>398</v>
      </c>
      <c r="B83" s="4" t="s">
        <v>400</v>
      </c>
      <c r="C83" s="4">
        <v>185</v>
      </c>
      <c r="D83" s="4">
        <v>171</v>
      </c>
      <c r="E83" s="4">
        <v>205</v>
      </c>
      <c r="F83" s="4">
        <v>138</v>
      </c>
      <c r="G83" s="4">
        <v>194</v>
      </c>
      <c r="H83" s="4">
        <v>209</v>
      </c>
      <c r="I83" s="5">
        <f t="shared" si="1"/>
        <v>1102</v>
      </c>
      <c r="K83" s="4" t="s">
        <v>1</v>
      </c>
      <c r="L83" s="5">
        <f>SUM(D82:D89)</f>
        <v>677</v>
      </c>
      <c r="N83" s="9"/>
      <c r="O83" s="5"/>
    </row>
    <row r="84" spans="1:15" ht="15">
      <c r="A84" s="4" t="s">
        <v>398</v>
      </c>
      <c r="B84" s="4" t="s">
        <v>401</v>
      </c>
      <c r="C84" s="4">
        <v>137</v>
      </c>
      <c r="D84" s="4">
        <v>158</v>
      </c>
      <c r="E84" s="4">
        <v>118</v>
      </c>
      <c r="F84" s="4">
        <v>144</v>
      </c>
      <c r="G84" s="4">
        <v>157</v>
      </c>
      <c r="H84" s="4">
        <v>191</v>
      </c>
      <c r="I84" s="5">
        <f t="shared" si="1"/>
        <v>905</v>
      </c>
      <c r="K84" s="4" t="s">
        <v>2</v>
      </c>
      <c r="L84" s="5">
        <f>SUM(E82:E89)</f>
        <v>685</v>
      </c>
      <c r="N84" s="9"/>
      <c r="O84" s="5"/>
    </row>
    <row r="85" spans="1:15" ht="15">
      <c r="A85" s="4" t="s">
        <v>398</v>
      </c>
      <c r="B85" s="4" t="s">
        <v>402</v>
      </c>
      <c r="C85" s="4">
        <v>128</v>
      </c>
      <c r="D85" s="4">
        <v>137</v>
      </c>
      <c r="E85" s="4">
        <v>110</v>
      </c>
      <c r="F85" s="4">
        <v>164</v>
      </c>
      <c r="G85" s="4">
        <v>136</v>
      </c>
      <c r="H85" s="4">
        <v>158</v>
      </c>
      <c r="I85" s="5">
        <f t="shared" si="1"/>
        <v>833</v>
      </c>
      <c r="K85" s="4" t="s">
        <v>4</v>
      </c>
      <c r="L85" s="5">
        <f>SUM(F82:F89)</f>
        <v>666</v>
      </c>
      <c r="N85" s="9"/>
      <c r="O85" s="5"/>
    </row>
    <row r="86" spans="1:15" ht="15">
      <c r="A86" s="4" t="s">
        <v>398</v>
      </c>
      <c r="B86" s="4" t="s">
        <v>403</v>
      </c>
      <c r="C86" s="4">
        <v>99</v>
      </c>
      <c r="D86" s="4">
        <v>97</v>
      </c>
      <c r="E86" s="4">
        <v>115</v>
      </c>
      <c r="F86" s="4">
        <v>93</v>
      </c>
      <c r="G86" s="4">
        <v>128</v>
      </c>
      <c r="H86" s="4">
        <v>106</v>
      </c>
      <c r="I86" s="5">
        <f t="shared" si="1"/>
        <v>638</v>
      </c>
      <c r="K86" s="4" t="s">
        <v>5</v>
      </c>
      <c r="L86" s="5">
        <f>SUM(G82:G89)</f>
        <v>791</v>
      </c>
      <c r="N86" s="9"/>
      <c r="O86" s="5"/>
    </row>
    <row r="87" spans="1:15" ht="15">
      <c r="A87" s="9"/>
      <c r="B87" s="4"/>
      <c r="C87" s="4"/>
      <c r="D87" s="4"/>
      <c r="E87" s="4"/>
      <c r="F87" s="4"/>
      <c r="G87" s="4"/>
      <c r="H87" s="4"/>
      <c r="I87" s="5">
        <f t="shared" si="1"/>
        <v>0</v>
      </c>
      <c r="K87" s="4" t="s">
        <v>6</v>
      </c>
      <c r="L87" s="5">
        <f>SUM(H82:H89)</f>
        <v>770</v>
      </c>
      <c r="N87" s="9"/>
      <c r="O87" s="5"/>
    </row>
    <row r="88" spans="1:15" ht="15">
      <c r="A88" s="9"/>
      <c r="B88" s="4"/>
      <c r="C88" s="4"/>
      <c r="D88" s="4"/>
      <c r="E88" s="4"/>
      <c r="F88" s="4"/>
      <c r="G88" s="4"/>
      <c r="H88" s="4"/>
      <c r="I88" s="5">
        <f t="shared" si="1"/>
        <v>0</v>
      </c>
      <c r="K88" s="5"/>
      <c r="L88" s="5"/>
      <c r="N88" s="9"/>
      <c r="O88" s="5"/>
    </row>
    <row r="89" spans="1:15" ht="15">
      <c r="A89" s="9"/>
      <c r="B89" s="4"/>
      <c r="C89" s="4"/>
      <c r="D89" s="4"/>
      <c r="E89" s="4"/>
      <c r="F89" s="4"/>
      <c r="G89" s="4"/>
      <c r="H89" s="4"/>
      <c r="I89" s="5">
        <f t="shared" si="1"/>
        <v>0</v>
      </c>
      <c r="K89" s="4"/>
      <c r="L89" s="5"/>
      <c r="N89" s="9"/>
      <c r="O89" s="5"/>
    </row>
    <row r="90" spans="1:15" ht="15">
      <c r="A90" s="8" t="s">
        <v>48</v>
      </c>
      <c r="B90" s="8" t="s">
        <v>404</v>
      </c>
      <c r="C90" s="8">
        <v>157</v>
      </c>
      <c r="D90" s="8">
        <v>144</v>
      </c>
      <c r="E90" s="8">
        <v>187</v>
      </c>
      <c r="F90" s="8">
        <v>135</v>
      </c>
      <c r="G90" s="8">
        <v>161</v>
      </c>
      <c r="H90" s="8">
        <v>0</v>
      </c>
      <c r="I90" s="7">
        <f t="shared" si="1"/>
        <v>784</v>
      </c>
      <c r="K90" s="8" t="s">
        <v>0</v>
      </c>
      <c r="L90" s="7">
        <f>SUM(C90:C97)</f>
        <v>716</v>
      </c>
      <c r="N90" s="6" t="str">
        <f>A90</f>
        <v>Indiana State University-Varsity</v>
      </c>
      <c r="O90" s="7">
        <f>SUM(L90:L95)</f>
        <v>4277</v>
      </c>
    </row>
    <row r="91" spans="1:15" ht="15">
      <c r="A91" s="8" t="s">
        <v>48</v>
      </c>
      <c r="B91" s="8" t="s">
        <v>405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7">
        <f t="shared" si="1"/>
        <v>0</v>
      </c>
      <c r="K91" s="8" t="s">
        <v>1</v>
      </c>
      <c r="L91" s="7">
        <f>SUM(D90:D97)</f>
        <v>766</v>
      </c>
      <c r="N91" s="6"/>
      <c r="O91" s="7"/>
    </row>
    <row r="92" spans="1:15" ht="15">
      <c r="A92" s="8" t="s">
        <v>48</v>
      </c>
      <c r="B92" s="8" t="s">
        <v>406</v>
      </c>
      <c r="C92" s="8">
        <v>181</v>
      </c>
      <c r="D92" s="8">
        <v>190</v>
      </c>
      <c r="E92" s="8">
        <v>153</v>
      </c>
      <c r="F92" s="8">
        <v>189</v>
      </c>
      <c r="G92" s="8">
        <v>133</v>
      </c>
      <c r="H92" s="8">
        <v>158</v>
      </c>
      <c r="I92" s="7">
        <f t="shared" si="1"/>
        <v>1004</v>
      </c>
      <c r="K92" s="8" t="s">
        <v>2</v>
      </c>
      <c r="L92" s="7">
        <f>SUM(E90:E97)</f>
        <v>714</v>
      </c>
      <c r="N92" s="6"/>
      <c r="O92" s="7"/>
    </row>
    <row r="93" spans="1:15" ht="15">
      <c r="A93" s="8" t="s">
        <v>48</v>
      </c>
      <c r="B93" s="8" t="s">
        <v>407</v>
      </c>
      <c r="C93" s="8">
        <v>101</v>
      </c>
      <c r="D93" s="8">
        <v>0</v>
      </c>
      <c r="E93" s="8">
        <v>0</v>
      </c>
      <c r="F93" s="8">
        <v>0</v>
      </c>
      <c r="G93" s="8">
        <v>0</v>
      </c>
      <c r="H93" s="8">
        <v>106</v>
      </c>
      <c r="I93" s="7">
        <f t="shared" si="1"/>
        <v>207</v>
      </c>
      <c r="K93" s="8" t="s">
        <v>4</v>
      </c>
      <c r="L93" s="7">
        <f>SUM(F90:F97)</f>
        <v>708</v>
      </c>
      <c r="N93" s="6"/>
      <c r="O93" s="7"/>
    </row>
    <row r="94" spans="1:15" ht="15">
      <c r="A94" s="8" t="s">
        <v>48</v>
      </c>
      <c r="B94" s="8" t="s">
        <v>408</v>
      </c>
      <c r="C94" s="8">
        <v>147</v>
      </c>
      <c r="D94" s="8">
        <v>127</v>
      </c>
      <c r="E94" s="8">
        <v>134</v>
      </c>
      <c r="F94" s="8">
        <v>132</v>
      </c>
      <c r="G94" s="8">
        <v>130</v>
      </c>
      <c r="H94" s="8">
        <v>133</v>
      </c>
      <c r="I94" s="7">
        <f t="shared" si="1"/>
        <v>803</v>
      </c>
      <c r="K94" s="8" t="s">
        <v>5</v>
      </c>
      <c r="L94" s="7">
        <f>SUM(G90:G97)</f>
        <v>680</v>
      </c>
      <c r="N94" s="6"/>
      <c r="O94" s="7"/>
    </row>
    <row r="95" spans="1:15" ht="15">
      <c r="A95" s="8" t="s">
        <v>48</v>
      </c>
      <c r="B95" s="8" t="s">
        <v>409</v>
      </c>
      <c r="C95" s="8">
        <v>130</v>
      </c>
      <c r="D95" s="8">
        <v>154</v>
      </c>
      <c r="E95" s="8">
        <v>138</v>
      </c>
      <c r="F95" s="8">
        <v>152</v>
      </c>
      <c r="G95" s="8">
        <v>122</v>
      </c>
      <c r="H95" s="8">
        <v>149</v>
      </c>
      <c r="I95" s="7">
        <f t="shared" si="1"/>
        <v>845</v>
      </c>
      <c r="K95" s="8" t="s">
        <v>6</v>
      </c>
      <c r="L95" s="7">
        <f>SUM(H90:H97)</f>
        <v>693</v>
      </c>
      <c r="N95" s="6"/>
      <c r="O95" s="7"/>
    </row>
    <row r="96" spans="1:15" ht="15">
      <c r="A96" s="8" t="s">
        <v>48</v>
      </c>
      <c r="B96" s="8" t="s">
        <v>410</v>
      </c>
      <c r="C96" s="8">
        <v>0</v>
      </c>
      <c r="D96" s="8">
        <v>151</v>
      </c>
      <c r="E96" s="8">
        <v>102</v>
      </c>
      <c r="F96" s="8">
        <v>100</v>
      </c>
      <c r="G96" s="8">
        <v>134</v>
      </c>
      <c r="H96" s="8">
        <v>147</v>
      </c>
      <c r="I96" s="7">
        <f t="shared" si="1"/>
        <v>634</v>
      </c>
      <c r="K96" s="8"/>
      <c r="L96" s="7"/>
      <c r="N96" s="6"/>
      <c r="O96" s="7"/>
    </row>
    <row r="97" spans="1:15" ht="15">
      <c r="A97" s="8" t="s">
        <v>48</v>
      </c>
      <c r="B97" s="8" t="s">
        <v>411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7">
        <f t="shared" si="1"/>
        <v>0</v>
      </c>
      <c r="K97" s="8"/>
      <c r="L97" s="7"/>
      <c r="N97" s="6"/>
      <c r="O97" s="7"/>
    </row>
    <row r="98" spans="1:15" ht="15">
      <c r="A98" s="4" t="s">
        <v>412</v>
      </c>
      <c r="B98" s="4" t="s">
        <v>413</v>
      </c>
      <c r="C98" s="4">
        <v>174</v>
      </c>
      <c r="D98" s="4">
        <v>180</v>
      </c>
      <c r="E98" s="4">
        <v>121</v>
      </c>
      <c r="F98" s="4">
        <v>164</v>
      </c>
      <c r="G98" s="4">
        <v>150</v>
      </c>
      <c r="H98" s="4">
        <v>175</v>
      </c>
      <c r="I98" s="5">
        <f t="shared" si="1"/>
        <v>964</v>
      </c>
      <c r="K98" s="4" t="s">
        <v>0</v>
      </c>
      <c r="L98" s="5">
        <f>SUM(C98:C105)</f>
        <v>739</v>
      </c>
      <c r="N98" s="9" t="str">
        <f>A98</f>
        <v>Lindsay Wilson-Varsity</v>
      </c>
      <c r="O98" s="5">
        <f>SUM(L98:L103)</f>
        <v>4190</v>
      </c>
    </row>
    <row r="99" spans="1:15" ht="15">
      <c r="A99" s="4" t="s">
        <v>412</v>
      </c>
      <c r="B99" s="4" t="s">
        <v>414</v>
      </c>
      <c r="C99" s="4">
        <v>150</v>
      </c>
      <c r="D99" s="4">
        <v>178</v>
      </c>
      <c r="E99" s="4">
        <v>190</v>
      </c>
      <c r="F99" s="4">
        <v>146</v>
      </c>
      <c r="G99" s="4">
        <v>160</v>
      </c>
      <c r="H99" s="4">
        <v>126</v>
      </c>
      <c r="I99" s="5">
        <f t="shared" si="1"/>
        <v>950</v>
      </c>
      <c r="K99" s="4" t="s">
        <v>1</v>
      </c>
      <c r="L99" s="5">
        <f>SUM(D98:D105)</f>
        <v>763</v>
      </c>
      <c r="N99" s="9"/>
      <c r="O99" s="5"/>
    </row>
    <row r="100" spans="1:15" ht="15">
      <c r="A100" s="4" t="s">
        <v>412</v>
      </c>
      <c r="B100" s="4" t="s">
        <v>415</v>
      </c>
      <c r="C100" s="4">
        <v>129</v>
      </c>
      <c r="D100" s="4">
        <v>148</v>
      </c>
      <c r="E100" s="4">
        <v>124</v>
      </c>
      <c r="F100" s="4">
        <v>168</v>
      </c>
      <c r="G100" s="4">
        <v>95</v>
      </c>
      <c r="H100" s="4">
        <v>0</v>
      </c>
      <c r="I100" s="5">
        <f t="shared" si="1"/>
        <v>664</v>
      </c>
      <c r="K100" s="4" t="s">
        <v>2</v>
      </c>
      <c r="L100" s="5">
        <f>SUM(E98:E105)</f>
        <v>674</v>
      </c>
      <c r="N100" s="9"/>
      <c r="O100" s="5"/>
    </row>
    <row r="101" spans="1:15" ht="15">
      <c r="A101" s="4" t="s">
        <v>412</v>
      </c>
      <c r="B101" s="4" t="s">
        <v>416</v>
      </c>
      <c r="C101" s="4">
        <v>171</v>
      </c>
      <c r="D101" s="4">
        <v>124</v>
      </c>
      <c r="E101" s="4">
        <v>121</v>
      </c>
      <c r="F101" s="4">
        <v>120</v>
      </c>
      <c r="G101" s="4">
        <v>0</v>
      </c>
      <c r="H101" s="4">
        <v>0</v>
      </c>
      <c r="I101" s="5">
        <f t="shared" si="1"/>
        <v>536</v>
      </c>
      <c r="K101" s="4" t="s">
        <v>4</v>
      </c>
      <c r="L101" s="5">
        <f>SUM(F98:F105)</f>
        <v>729</v>
      </c>
      <c r="N101" s="9"/>
      <c r="O101" s="5"/>
    </row>
    <row r="102" spans="1:15" ht="15">
      <c r="A102" s="4" t="s">
        <v>412</v>
      </c>
      <c r="B102" s="4" t="s">
        <v>417</v>
      </c>
      <c r="C102" s="4">
        <v>115</v>
      </c>
      <c r="D102" s="4">
        <v>133</v>
      </c>
      <c r="E102" s="4">
        <v>0</v>
      </c>
      <c r="F102" s="4">
        <v>0</v>
      </c>
      <c r="G102" s="4">
        <v>146</v>
      </c>
      <c r="H102" s="4">
        <v>101</v>
      </c>
      <c r="I102" s="5">
        <f t="shared" si="1"/>
        <v>495</v>
      </c>
      <c r="K102" s="4" t="s">
        <v>5</v>
      </c>
      <c r="L102" s="5">
        <f>SUM(G98:G105)</f>
        <v>657</v>
      </c>
      <c r="N102" s="9"/>
      <c r="O102" s="5"/>
    </row>
    <row r="103" spans="1:15" ht="15">
      <c r="A103" s="4" t="s">
        <v>412</v>
      </c>
      <c r="B103" s="4" t="s">
        <v>418</v>
      </c>
      <c r="C103" s="4">
        <v>0</v>
      </c>
      <c r="D103" s="4">
        <v>0</v>
      </c>
      <c r="E103" s="4">
        <v>118</v>
      </c>
      <c r="F103" s="4">
        <v>131</v>
      </c>
      <c r="G103" s="4">
        <v>0</v>
      </c>
      <c r="H103" s="4">
        <v>119</v>
      </c>
      <c r="I103" s="5">
        <f t="shared" si="1"/>
        <v>368</v>
      </c>
      <c r="K103" s="4" t="s">
        <v>6</v>
      </c>
      <c r="L103" s="5">
        <f>SUM(H98:H105)</f>
        <v>628</v>
      </c>
      <c r="N103" s="9"/>
      <c r="O103" s="5"/>
    </row>
    <row r="104" spans="1:15" ht="15">
      <c r="A104" s="4" t="s">
        <v>412</v>
      </c>
      <c r="B104" s="4" t="s">
        <v>419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107</v>
      </c>
      <c r="I104" s="5">
        <f t="shared" si="1"/>
        <v>107</v>
      </c>
      <c r="K104" s="5"/>
      <c r="L104" s="5"/>
      <c r="N104" s="9"/>
      <c r="O104" s="5"/>
    </row>
    <row r="105" spans="1:15" ht="15">
      <c r="A105" s="4" t="s">
        <v>412</v>
      </c>
      <c r="B105" s="4" t="s">
        <v>420</v>
      </c>
      <c r="C105" s="4">
        <v>0</v>
      </c>
      <c r="D105" s="4">
        <v>0</v>
      </c>
      <c r="E105" s="4">
        <v>0</v>
      </c>
      <c r="F105" s="4">
        <v>0</v>
      </c>
      <c r="G105" s="4">
        <v>106</v>
      </c>
      <c r="H105" s="4">
        <v>0</v>
      </c>
      <c r="I105" s="5">
        <f t="shared" si="1"/>
        <v>106</v>
      </c>
      <c r="K105" s="4"/>
      <c r="L105" s="5"/>
      <c r="N105" s="9"/>
      <c r="O105" s="5"/>
    </row>
    <row r="106" spans="1:15" ht="15">
      <c r="A106" s="8" t="s">
        <v>71</v>
      </c>
      <c r="B106" s="8" t="s">
        <v>421</v>
      </c>
      <c r="C106" s="8">
        <v>166</v>
      </c>
      <c r="D106" s="8">
        <v>167</v>
      </c>
      <c r="E106" s="8">
        <v>174</v>
      </c>
      <c r="F106" s="8">
        <v>157</v>
      </c>
      <c r="G106" s="8">
        <v>168</v>
      </c>
      <c r="H106" s="8">
        <v>168</v>
      </c>
      <c r="I106" s="7">
        <f t="shared" si="1"/>
        <v>1000</v>
      </c>
      <c r="K106" s="8" t="s">
        <v>0</v>
      </c>
      <c r="L106" s="7">
        <f>SUM(C106:C113)</f>
        <v>868</v>
      </c>
      <c r="N106" s="6" t="str">
        <f>A106</f>
        <v>Marian University-Varsity</v>
      </c>
      <c r="O106" s="7">
        <f>SUM(L106:L111)</f>
        <v>5244</v>
      </c>
    </row>
    <row r="107" spans="1:15" ht="15">
      <c r="A107" s="8" t="s">
        <v>71</v>
      </c>
      <c r="B107" s="8" t="s">
        <v>422</v>
      </c>
      <c r="C107" s="8">
        <v>196</v>
      </c>
      <c r="D107" s="8">
        <v>167</v>
      </c>
      <c r="E107" s="8">
        <v>161</v>
      </c>
      <c r="F107" s="8">
        <v>228</v>
      </c>
      <c r="G107" s="8">
        <v>141</v>
      </c>
      <c r="H107" s="8">
        <v>194</v>
      </c>
      <c r="I107" s="7">
        <f t="shared" si="1"/>
        <v>1087</v>
      </c>
      <c r="K107" s="8" t="s">
        <v>1</v>
      </c>
      <c r="L107" s="7">
        <f>SUM(D106:D113)</f>
        <v>846</v>
      </c>
      <c r="N107" s="6"/>
      <c r="O107" s="7"/>
    </row>
    <row r="108" spans="1:15" ht="15">
      <c r="A108" s="8" t="s">
        <v>71</v>
      </c>
      <c r="B108" s="8" t="s">
        <v>423</v>
      </c>
      <c r="C108" s="8">
        <v>155</v>
      </c>
      <c r="D108" s="8">
        <v>156</v>
      </c>
      <c r="E108" s="8">
        <v>156</v>
      </c>
      <c r="F108" s="8">
        <v>200</v>
      </c>
      <c r="G108" s="8">
        <v>186</v>
      </c>
      <c r="H108" s="8">
        <v>210</v>
      </c>
      <c r="I108" s="7">
        <f t="shared" si="1"/>
        <v>1063</v>
      </c>
      <c r="K108" s="8" t="s">
        <v>2</v>
      </c>
      <c r="L108" s="7">
        <f>SUM(E106:E113)</f>
        <v>821</v>
      </c>
      <c r="N108" s="6"/>
      <c r="O108" s="7"/>
    </row>
    <row r="109" spans="1:15" ht="15">
      <c r="A109" s="8" t="s">
        <v>71</v>
      </c>
      <c r="B109" s="8" t="s">
        <v>424</v>
      </c>
      <c r="C109" s="8">
        <v>156</v>
      </c>
      <c r="D109" s="8">
        <v>194</v>
      </c>
      <c r="E109" s="8">
        <v>162</v>
      </c>
      <c r="F109" s="8">
        <v>196</v>
      </c>
      <c r="G109" s="8">
        <v>157</v>
      </c>
      <c r="H109" s="8">
        <v>163</v>
      </c>
      <c r="I109" s="7">
        <f t="shared" si="1"/>
        <v>1028</v>
      </c>
      <c r="K109" s="8" t="s">
        <v>4</v>
      </c>
      <c r="L109" s="7">
        <f>SUM(F106:F113)</f>
        <v>980</v>
      </c>
      <c r="N109" s="6"/>
      <c r="O109" s="7"/>
    </row>
    <row r="110" spans="1:15" ht="15">
      <c r="A110" s="8" t="s">
        <v>71</v>
      </c>
      <c r="B110" s="8" t="s">
        <v>425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7">
        <f t="shared" si="1"/>
        <v>0</v>
      </c>
      <c r="K110" s="8" t="s">
        <v>5</v>
      </c>
      <c r="L110" s="7">
        <f>SUM(G106:G113)</f>
        <v>827</v>
      </c>
      <c r="N110" s="6"/>
      <c r="O110" s="7"/>
    </row>
    <row r="111" spans="1:15" ht="15">
      <c r="A111" s="8" t="s">
        <v>71</v>
      </c>
      <c r="B111" s="8" t="s">
        <v>426</v>
      </c>
      <c r="C111" s="8">
        <v>195</v>
      </c>
      <c r="D111" s="8">
        <v>162</v>
      </c>
      <c r="E111" s="8">
        <v>168</v>
      </c>
      <c r="F111" s="8">
        <v>199</v>
      </c>
      <c r="G111" s="8">
        <v>175</v>
      </c>
      <c r="H111" s="8">
        <v>167</v>
      </c>
      <c r="I111" s="7">
        <f t="shared" si="1"/>
        <v>1066</v>
      </c>
      <c r="K111" s="8" t="s">
        <v>6</v>
      </c>
      <c r="L111" s="7">
        <f>SUM(H106:H113)</f>
        <v>902</v>
      </c>
      <c r="N111" s="6"/>
      <c r="O111" s="7"/>
    </row>
    <row r="112" spans="1:15" ht="15">
      <c r="A112" s="8"/>
      <c r="B112" s="8"/>
      <c r="C112" s="8"/>
      <c r="D112" s="8"/>
      <c r="E112" s="8"/>
      <c r="F112" s="8"/>
      <c r="G112" s="8"/>
      <c r="H112" s="8"/>
      <c r="I112" s="7">
        <f t="shared" si="1"/>
        <v>0</v>
      </c>
      <c r="K112" s="8"/>
      <c r="L112" s="7"/>
      <c r="N112" s="6"/>
      <c r="O112" s="7"/>
    </row>
    <row r="113" spans="1:15" ht="15">
      <c r="A113" s="8"/>
      <c r="B113" s="8"/>
      <c r="C113" s="8"/>
      <c r="D113" s="8"/>
      <c r="E113" s="8"/>
      <c r="F113" s="8"/>
      <c r="G113" s="8"/>
      <c r="H113" s="8"/>
      <c r="I113" s="7">
        <f t="shared" si="1"/>
        <v>0</v>
      </c>
      <c r="K113" s="8"/>
      <c r="L113" s="7"/>
      <c r="N113" s="6"/>
      <c r="O113" s="7"/>
    </row>
    <row r="114" spans="1:15" ht="15">
      <c r="A114" s="4" t="s">
        <v>79</v>
      </c>
      <c r="B114" s="4" t="s">
        <v>427</v>
      </c>
      <c r="C114" s="4">
        <v>176</v>
      </c>
      <c r="D114" s="4">
        <v>181</v>
      </c>
      <c r="E114" s="4">
        <v>136</v>
      </c>
      <c r="F114" s="4">
        <v>150</v>
      </c>
      <c r="G114" s="4">
        <v>168</v>
      </c>
      <c r="H114" s="4">
        <v>165</v>
      </c>
      <c r="I114" s="5">
        <f t="shared" si="1"/>
        <v>976</v>
      </c>
      <c r="K114" s="4" t="s">
        <v>0</v>
      </c>
      <c r="L114" s="5">
        <f>SUM(C114:C121)</f>
        <v>929</v>
      </c>
      <c r="N114" s="9" t="str">
        <f>A114</f>
        <v>Marian University-Junior Varsity</v>
      </c>
      <c r="O114" s="5">
        <f>SUM(L114:L119)</f>
        <v>5024</v>
      </c>
    </row>
    <row r="115" spans="1:15" ht="15">
      <c r="A115" s="4" t="s">
        <v>79</v>
      </c>
      <c r="B115" s="4" t="s">
        <v>428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5">
        <f t="shared" si="1"/>
        <v>0</v>
      </c>
      <c r="K115" s="4" t="s">
        <v>1</v>
      </c>
      <c r="L115" s="5">
        <f>SUM(D114:D121)</f>
        <v>850</v>
      </c>
      <c r="N115" s="9"/>
      <c r="O115" s="5"/>
    </row>
    <row r="116" spans="1:15" ht="15">
      <c r="A116" s="4" t="s">
        <v>79</v>
      </c>
      <c r="B116" s="4" t="s">
        <v>429</v>
      </c>
      <c r="C116" s="4">
        <v>217</v>
      </c>
      <c r="D116" s="4">
        <v>133</v>
      </c>
      <c r="E116" s="4">
        <v>154</v>
      </c>
      <c r="F116" s="4">
        <v>175</v>
      </c>
      <c r="G116" s="4">
        <v>147</v>
      </c>
      <c r="H116" s="4">
        <v>222</v>
      </c>
      <c r="I116" s="5">
        <f t="shared" si="1"/>
        <v>1048</v>
      </c>
      <c r="K116" s="4" t="s">
        <v>2</v>
      </c>
      <c r="L116" s="5">
        <f>SUM(E114:E121)</f>
        <v>844</v>
      </c>
      <c r="N116" s="9"/>
      <c r="O116" s="5"/>
    </row>
    <row r="117" spans="1:15" ht="15">
      <c r="A117" s="4" t="s">
        <v>79</v>
      </c>
      <c r="B117" s="4" t="s">
        <v>430</v>
      </c>
      <c r="C117" s="4">
        <v>187</v>
      </c>
      <c r="D117" s="4">
        <v>202</v>
      </c>
      <c r="E117" s="4">
        <v>188</v>
      </c>
      <c r="F117" s="4">
        <v>189</v>
      </c>
      <c r="G117" s="4">
        <v>164</v>
      </c>
      <c r="H117" s="4">
        <v>202</v>
      </c>
      <c r="I117" s="5">
        <f t="shared" si="1"/>
        <v>1132</v>
      </c>
      <c r="K117" s="4" t="s">
        <v>4</v>
      </c>
      <c r="L117" s="5">
        <f>SUM(F114:F121)</f>
        <v>777</v>
      </c>
      <c r="N117" s="9"/>
      <c r="O117" s="5"/>
    </row>
    <row r="118" spans="1:15" ht="15">
      <c r="A118" s="4" t="s">
        <v>79</v>
      </c>
      <c r="B118" s="4" t="s">
        <v>431</v>
      </c>
      <c r="C118" s="4">
        <v>139</v>
      </c>
      <c r="D118" s="4">
        <v>158</v>
      </c>
      <c r="E118" s="4">
        <v>202</v>
      </c>
      <c r="F118" s="4">
        <v>139</v>
      </c>
      <c r="G118" s="4">
        <v>116</v>
      </c>
      <c r="H118" s="4">
        <v>142</v>
      </c>
      <c r="I118" s="5">
        <f t="shared" si="1"/>
        <v>896</v>
      </c>
      <c r="K118" s="4" t="s">
        <v>5</v>
      </c>
      <c r="L118" s="5">
        <f>SUM(G114:G121)</f>
        <v>769</v>
      </c>
      <c r="N118" s="9"/>
      <c r="O118" s="5"/>
    </row>
    <row r="119" spans="1:15" ht="15">
      <c r="A119" s="4" t="s">
        <v>79</v>
      </c>
      <c r="B119" s="4" t="s">
        <v>432</v>
      </c>
      <c r="C119" s="4">
        <v>210</v>
      </c>
      <c r="D119" s="4">
        <v>176</v>
      </c>
      <c r="E119" s="4">
        <v>164</v>
      </c>
      <c r="F119" s="4">
        <v>124</v>
      </c>
      <c r="G119" s="4">
        <v>174</v>
      </c>
      <c r="H119" s="4">
        <v>124</v>
      </c>
      <c r="I119" s="5">
        <f t="shared" si="1"/>
        <v>972</v>
      </c>
      <c r="K119" s="4" t="s">
        <v>6</v>
      </c>
      <c r="L119" s="5">
        <f>SUM(H114:H121)</f>
        <v>855</v>
      </c>
      <c r="N119" s="9"/>
      <c r="O119" s="5"/>
    </row>
    <row r="120" spans="1:15" ht="15">
      <c r="A120" s="9"/>
      <c r="B120" s="4"/>
      <c r="C120" s="4"/>
      <c r="D120" s="4"/>
      <c r="E120" s="4"/>
      <c r="F120" s="4"/>
      <c r="G120" s="4"/>
      <c r="H120" s="4"/>
      <c r="I120" s="5">
        <f t="shared" si="1"/>
        <v>0</v>
      </c>
      <c r="K120" s="5"/>
      <c r="L120" s="5"/>
      <c r="N120" s="9"/>
      <c r="O120" s="5"/>
    </row>
    <row r="121" spans="1:15" ht="15">
      <c r="A121" s="9"/>
      <c r="B121" s="4"/>
      <c r="C121" s="4"/>
      <c r="D121" s="4"/>
      <c r="E121" s="4"/>
      <c r="F121" s="4"/>
      <c r="G121" s="4"/>
      <c r="H121" s="4"/>
      <c r="I121" s="5">
        <f t="shared" si="1"/>
        <v>0</v>
      </c>
      <c r="K121" s="4"/>
      <c r="L121" s="5"/>
      <c r="N121" s="9"/>
      <c r="O121" s="5"/>
    </row>
    <row r="122" spans="1:15" ht="15">
      <c r="A122" s="8" t="s">
        <v>87</v>
      </c>
      <c r="B122" s="8" t="s">
        <v>566</v>
      </c>
      <c r="C122" s="8">
        <v>136</v>
      </c>
      <c r="D122" s="8">
        <v>124</v>
      </c>
      <c r="E122" s="8">
        <v>126</v>
      </c>
      <c r="F122" s="8">
        <v>179</v>
      </c>
      <c r="G122" s="8">
        <v>124</v>
      </c>
      <c r="H122" s="8">
        <v>160</v>
      </c>
      <c r="I122" s="7">
        <f t="shared" si="1"/>
        <v>849</v>
      </c>
      <c r="K122" s="8" t="s">
        <v>0</v>
      </c>
      <c r="L122" s="7">
        <f>SUM(C122:C129)</f>
        <v>719</v>
      </c>
      <c r="N122" s="6" t="str">
        <f>A122</f>
        <v>Martin Methodist-Varsity</v>
      </c>
      <c r="O122" s="7">
        <f>SUM(L122:L127)</f>
        <v>4478</v>
      </c>
    </row>
    <row r="123" spans="1:15" ht="15">
      <c r="A123" s="8" t="s">
        <v>87</v>
      </c>
      <c r="B123" s="8" t="s">
        <v>567</v>
      </c>
      <c r="C123" s="8">
        <v>161</v>
      </c>
      <c r="D123" s="8">
        <v>166</v>
      </c>
      <c r="E123" s="8">
        <v>104</v>
      </c>
      <c r="F123" s="8">
        <v>143</v>
      </c>
      <c r="G123" s="8">
        <v>133</v>
      </c>
      <c r="H123" s="8">
        <v>180</v>
      </c>
      <c r="I123" s="7">
        <f t="shared" si="1"/>
        <v>887</v>
      </c>
      <c r="K123" s="8" t="s">
        <v>1</v>
      </c>
      <c r="L123" s="7">
        <f>SUM(D122:D129)</f>
        <v>759</v>
      </c>
      <c r="N123" s="6"/>
      <c r="O123" s="7"/>
    </row>
    <row r="124" spans="1:15" ht="15">
      <c r="A124" s="8" t="s">
        <v>87</v>
      </c>
      <c r="B124" s="8" t="s">
        <v>568</v>
      </c>
      <c r="C124" s="8">
        <v>95</v>
      </c>
      <c r="D124" s="8">
        <v>153</v>
      </c>
      <c r="E124" s="8">
        <v>167</v>
      </c>
      <c r="F124" s="8">
        <v>125</v>
      </c>
      <c r="G124" s="8">
        <v>180</v>
      </c>
      <c r="H124" s="8">
        <v>149</v>
      </c>
      <c r="I124" s="7">
        <f t="shared" si="1"/>
        <v>869</v>
      </c>
      <c r="K124" s="8" t="s">
        <v>2</v>
      </c>
      <c r="L124" s="7">
        <f>SUM(E122:E129)</f>
        <v>711</v>
      </c>
      <c r="N124" s="6"/>
      <c r="O124" s="7"/>
    </row>
    <row r="125" spans="1:15" ht="15">
      <c r="A125" s="8" t="s">
        <v>87</v>
      </c>
      <c r="B125" s="8" t="s">
        <v>569</v>
      </c>
      <c r="C125" s="8">
        <v>145</v>
      </c>
      <c r="D125" s="8">
        <v>186</v>
      </c>
      <c r="E125" s="8">
        <v>162</v>
      </c>
      <c r="F125" s="8">
        <v>134</v>
      </c>
      <c r="G125" s="8">
        <v>140</v>
      </c>
      <c r="H125" s="8">
        <v>207</v>
      </c>
      <c r="I125" s="7">
        <f t="shared" si="1"/>
        <v>974</v>
      </c>
      <c r="K125" s="8" t="s">
        <v>4</v>
      </c>
      <c r="L125" s="7">
        <f>SUM(F122:F129)</f>
        <v>716</v>
      </c>
      <c r="N125" s="6"/>
      <c r="O125" s="7"/>
    </row>
    <row r="126" spans="1:15" ht="15">
      <c r="A126" s="8" t="s">
        <v>87</v>
      </c>
      <c r="B126" s="8" t="s">
        <v>570</v>
      </c>
      <c r="C126" s="8">
        <v>182</v>
      </c>
      <c r="D126" s="8">
        <v>130</v>
      </c>
      <c r="E126" s="8">
        <v>152</v>
      </c>
      <c r="F126" s="8">
        <v>135</v>
      </c>
      <c r="G126" s="8">
        <v>145</v>
      </c>
      <c r="H126" s="8">
        <v>155</v>
      </c>
      <c r="I126" s="7">
        <f t="shared" si="1"/>
        <v>899</v>
      </c>
      <c r="K126" s="8" t="s">
        <v>5</v>
      </c>
      <c r="L126" s="7">
        <f>SUM(G122:G129)</f>
        <v>722</v>
      </c>
      <c r="N126" s="6"/>
      <c r="O126" s="7"/>
    </row>
    <row r="127" spans="1:15" ht="15">
      <c r="A127" s="8"/>
      <c r="B127" s="8"/>
      <c r="C127" s="8"/>
      <c r="D127" s="8"/>
      <c r="E127" s="8"/>
      <c r="F127" s="8"/>
      <c r="G127" s="8"/>
      <c r="H127" s="8"/>
      <c r="I127" s="7">
        <f t="shared" si="1"/>
        <v>0</v>
      </c>
      <c r="K127" s="8" t="s">
        <v>6</v>
      </c>
      <c r="L127" s="7">
        <f>SUM(H122:H129)</f>
        <v>851</v>
      </c>
      <c r="N127" s="6"/>
      <c r="O127" s="7"/>
    </row>
    <row r="128" spans="1:15" ht="15">
      <c r="A128" s="8"/>
      <c r="B128" s="8"/>
      <c r="C128" s="8"/>
      <c r="D128" s="8"/>
      <c r="E128" s="8"/>
      <c r="F128" s="8"/>
      <c r="G128" s="8"/>
      <c r="H128" s="8"/>
      <c r="I128" s="7">
        <f t="shared" si="1"/>
        <v>0</v>
      </c>
      <c r="K128" s="8"/>
      <c r="L128" s="7"/>
      <c r="N128" s="6"/>
      <c r="O128" s="7"/>
    </row>
    <row r="129" spans="1:15" ht="15">
      <c r="A129" s="8"/>
      <c r="B129" s="8"/>
      <c r="C129" s="8"/>
      <c r="D129" s="8"/>
      <c r="E129" s="8"/>
      <c r="F129" s="8"/>
      <c r="G129" s="8"/>
      <c r="H129" s="8"/>
      <c r="I129" s="7">
        <f t="shared" si="1"/>
        <v>0</v>
      </c>
      <c r="K129" s="8"/>
      <c r="L129" s="7"/>
      <c r="N129" s="6"/>
      <c r="O129" s="7"/>
    </row>
    <row r="130" spans="1:15" ht="15">
      <c r="A130" s="4" t="s">
        <v>433</v>
      </c>
      <c r="B130" s="4" t="s">
        <v>434</v>
      </c>
      <c r="C130" s="4">
        <v>171</v>
      </c>
      <c r="D130" s="4">
        <v>143</v>
      </c>
      <c r="E130" s="4">
        <v>0</v>
      </c>
      <c r="F130" s="4">
        <v>114</v>
      </c>
      <c r="G130" s="4">
        <v>0</v>
      </c>
      <c r="H130" s="4">
        <v>166</v>
      </c>
      <c r="I130" s="5">
        <f aca="true" t="shared" si="2" ref="I130:I193">SUM(C130:H130)</f>
        <v>594</v>
      </c>
      <c r="K130" s="4" t="s">
        <v>0</v>
      </c>
      <c r="L130" s="5">
        <f>SUM(C130:C137)</f>
        <v>701</v>
      </c>
      <c r="N130" s="9" t="str">
        <f>A130</f>
        <v>Michigan State University-Varsity</v>
      </c>
      <c r="O130" s="5">
        <f>SUM(L130:L135)</f>
        <v>4315</v>
      </c>
    </row>
    <row r="131" spans="1:15" ht="15">
      <c r="A131" s="4" t="s">
        <v>433</v>
      </c>
      <c r="B131" s="4" t="s">
        <v>435</v>
      </c>
      <c r="C131" s="4">
        <v>130</v>
      </c>
      <c r="D131" s="4">
        <v>0</v>
      </c>
      <c r="E131" s="4">
        <v>164</v>
      </c>
      <c r="F131" s="4">
        <v>155</v>
      </c>
      <c r="G131" s="4">
        <v>114</v>
      </c>
      <c r="H131" s="4">
        <v>0</v>
      </c>
      <c r="I131" s="5">
        <f t="shared" si="2"/>
        <v>563</v>
      </c>
      <c r="K131" s="4" t="s">
        <v>1</v>
      </c>
      <c r="L131" s="5">
        <f>SUM(D130:D137)</f>
        <v>739</v>
      </c>
      <c r="N131" s="9"/>
      <c r="O131" s="5"/>
    </row>
    <row r="132" spans="1:15" ht="15">
      <c r="A132" s="4" t="s">
        <v>433</v>
      </c>
      <c r="B132" s="4" t="s">
        <v>436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5">
        <f t="shared" si="2"/>
        <v>0</v>
      </c>
      <c r="K132" s="4" t="s">
        <v>2</v>
      </c>
      <c r="L132" s="5">
        <f>SUM(E130:E137)</f>
        <v>707</v>
      </c>
      <c r="N132" s="9"/>
      <c r="O132" s="5"/>
    </row>
    <row r="133" spans="1:15" ht="15">
      <c r="A133" s="4" t="s">
        <v>433</v>
      </c>
      <c r="B133" s="4" t="s">
        <v>437</v>
      </c>
      <c r="C133" s="4">
        <v>0</v>
      </c>
      <c r="D133" s="4">
        <v>99</v>
      </c>
      <c r="E133" s="4">
        <v>0</v>
      </c>
      <c r="F133" s="4">
        <v>164</v>
      </c>
      <c r="G133" s="4">
        <v>143</v>
      </c>
      <c r="H133" s="4">
        <v>140</v>
      </c>
      <c r="I133" s="5">
        <f t="shared" si="2"/>
        <v>546</v>
      </c>
      <c r="K133" s="4" t="s">
        <v>4</v>
      </c>
      <c r="L133" s="5">
        <f>SUM(F130:F137)</f>
        <v>737</v>
      </c>
      <c r="N133" s="9"/>
      <c r="O133" s="5"/>
    </row>
    <row r="134" spans="1:15" ht="15">
      <c r="A134" s="4" t="s">
        <v>433</v>
      </c>
      <c r="B134" s="4" t="s">
        <v>438</v>
      </c>
      <c r="C134" s="4">
        <v>136</v>
      </c>
      <c r="D134" s="4">
        <v>161</v>
      </c>
      <c r="E134" s="4">
        <v>149</v>
      </c>
      <c r="F134" s="4">
        <v>0</v>
      </c>
      <c r="G134" s="4">
        <v>120</v>
      </c>
      <c r="H134" s="4">
        <v>169</v>
      </c>
      <c r="I134" s="5">
        <f t="shared" si="2"/>
        <v>735</v>
      </c>
      <c r="K134" s="4" t="s">
        <v>5</v>
      </c>
      <c r="L134" s="5">
        <f>SUM(G130:G137)</f>
        <v>648</v>
      </c>
      <c r="N134" s="9"/>
      <c r="O134" s="5"/>
    </row>
    <row r="135" spans="1:15" ht="15">
      <c r="A135" s="4" t="s">
        <v>433</v>
      </c>
      <c r="B135" s="4" t="s">
        <v>439</v>
      </c>
      <c r="C135" s="4">
        <v>157</v>
      </c>
      <c r="D135" s="4">
        <v>191</v>
      </c>
      <c r="E135" s="4">
        <v>135</v>
      </c>
      <c r="F135" s="4">
        <v>165</v>
      </c>
      <c r="G135" s="4">
        <v>164</v>
      </c>
      <c r="H135" s="4">
        <v>161</v>
      </c>
      <c r="I135" s="5">
        <f t="shared" si="2"/>
        <v>973</v>
      </c>
      <c r="K135" s="4" t="s">
        <v>6</v>
      </c>
      <c r="L135" s="5">
        <f>SUM(H130:H137)</f>
        <v>783</v>
      </c>
      <c r="N135" s="9"/>
      <c r="O135" s="5"/>
    </row>
    <row r="136" spans="1:15" ht="15">
      <c r="A136" s="4" t="s">
        <v>433</v>
      </c>
      <c r="B136" s="4" t="s">
        <v>440</v>
      </c>
      <c r="C136" s="4">
        <v>107</v>
      </c>
      <c r="D136" s="4">
        <v>0</v>
      </c>
      <c r="E136" s="4">
        <v>152</v>
      </c>
      <c r="F136" s="4">
        <v>139</v>
      </c>
      <c r="G136" s="4">
        <v>0</v>
      </c>
      <c r="H136" s="4">
        <v>147</v>
      </c>
      <c r="I136" s="5">
        <f t="shared" si="2"/>
        <v>545</v>
      </c>
      <c r="K136" s="5"/>
      <c r="L136" s="5"/>
      <c r="N136" s="9"/>
      <c r="O136" s="5"/>
    </row>
    <row r="137" spans="1:15" ht="15">
      <c r="A137" s="4" t="s">
        <v>433</v>
      </c>
      <c r="B137" s="4" t="s">
        <v>634</v>
      </c>
      <c r="C137" s="4">
        <v>0</v>
      </c>
      <c r="D137" s="4">
        <v>145</v>
      </c>
      <c r="E137" s="4">
        <v>107</v>
      </c>
      <c r="F137" s="4">
        <v>0</v>
      </c>
      <c r="G137" s="4">
        <v>107</v>
      </c>
      <c r="H137" s="4">
        <v>0</v>
      </c>
      <c r="I137" s="5">
        <f t="shared" si="2"/>
        <v>359</v>
      </c>
      <c r="K137" s="4"/>
      <c r="L137" s="5"/>
      <c r="N137" s="9"/>
      <c r="O137" s="5"/>
    </row>
    <row r="138" spans="1:15" ht="15">
      <c r="A138" s="8" t="s">
        <v>96</v>
      </c>
      <c r="B138" s="8" t="s">
        <v>441</v>
      </c>
      <c r="C138" s="8">
        <v>141</v>
      </c>
      <c r="D138" s="8">
        <v>144</v>
      </c>
      <c r="E138" s="8">
        <v>119</v>
      </c>
      <c r="F138" s="8">
        <v>143</v>
      </c>
      <c r="G138" s="8">
        <v>113</v>
      </c>
      <c r="H138" s="8">
        <v>0</v>
      </c>
      <c r="I138" s="7">
        <f t="shared" si="2"/>
        <v>660</v>
      </c>
      <c r="K138" s="8" t="s">
        <v>0</v>
      </c>
      <c r="L138" s="7">
        <f>SUM(C138:C145)</f>
        <v>803</v>
      </c>
      <c r="N138" s="6" t="str">
        <f>A138</f>
        <v>Morehead State University-Varsity</v>
      </c>
      <c r="O138" s="7">
        <f>SUM(L138:L143)</f>
        <v>4693</v>
      </c>
    </row>
    <row r="139" spans="1:15" ht="15">
      <c r="A139" s="8" t="s">
        <v>96</v>
      </c>
      <c r="B139" s="8" t="s">
        <v>442</v>
      </c>
      <c r="C139" s="8">
        <v>165</v>
      </c>
      <c r="D139" s="8">
        <v>179</v>
      </c>
      <c r="E139" s="8">
        <v>203</v>
      </c>
      <c r="F139" s="8">
        <v>220</v>
      </c>
      <c r="G139" s="8">
        <v>172</v>
      </c>
      <c r="H139" s="8">
        <v>161</v>
      </c>
      <c r="I139" s="7">
        <f t="shared" si="2"/>
        <v>1100</v>
      </c>
      <c r="K139" s="8" t="s">
        <v>1</v>
      </c>
      <c r="L139" s="7">
        <f>SUM(D138:D145)</f>
        <v>759</v>
      </c>
      <c r="N139" s="6"/>
      <c r="O139" s="7"/>
    </row>
    <row r="140" spans="1:15" ht="15">
      <c r="A140" s="8" t="s">
        <v>96</v>
      </c>
      <c r="B140" s="8" t="s">
        <v>443</v>
      </c>
      <c r="C140" s="8">
        <v>133</v>
      </c>
      <c r="D140" s="8">
        <v>0</v>
      </c>
      <c r="E140" s="8">
        <v>142</v>
      </c>
      <c r="F140" s="8">
        <v>121</v>
      </c>
      <c r="G140" s="8">
        <v>0</v>
      </c>
      <c r="H140" s="8">
        <v>140</v>
      </c>
      <c r="I140" s="7">
        <f t="shared" si="2"/>
        <v>536</v>
      </c>
      <c r="K140" s="8" t="s">
        <v>2</v>
      </c>
      <c r="L140" s="7">
        <f>SUM(E138:E145)</f>
        <v>836</v>
      </c>
      <c r="N140" s="6"/>
      <c r="O140" s="7"/>
    </row>
    <row r="141" spans="1:15" ht="15">
      <c r="A141" s="8" t="s">
        <v>96</v>
      </c>
      <c r="B141" s="8" t="s">
        <v>444</v>
      </c>
      <c r="C141" s="8">
        <v>200</v>
      </c>
      <c r="D141" s="8">
        <v>158</v>
      </c>
      <c r="E141" s="8">
        <v>179</v>
      </c>
      <c r="F141" s="8">
        <v>180</v>
      </c>
      <c r="G141" s="8">
        <v>153</v>
      </c>
      <c r="H141" s="8">
        <v>145</v>
      </c>
      <c r="I141" s="7">
        <f t="shared" si="2"/>
        <v>1015</v>
      </c>
      <c r="K141" s="8" t="s">
        <v>4</v>
      </c>
      <c r="L141" s="7">
        <f>SUM(F138:F145)</f>
        <v>804</v>
      </c>
      <c r="N141" s="6"/>
      <c r="O141" s="7"/>
    </row>
    <row r="142" spans="1:15" ht="15">
      <c r="A142" s="8" t="s">
        <v>96</v>
      </c>
      <c r="B142" s="8" t="s">
        <v>445</v>
      </c>
      <c r="C142" s="8">
        <v>0</v>
      </c>
      <c r="D142" s="8">
        <v>124</v>
      </c>
      <c r="E142" s="8">
        <v>0</v>
      </c>
      <c r="F142" s="8">
        <v>0</v>
      </c>
      <c r="G142" s="8">
        <v>129</v>
      </c>
      <c r="H142" s="8">
        <v>124</v>
      </c>
      <c r="I142" s="7">
        <f t="shared" si="2"/>
        <v>377</v>
      </c>
      <c r="K142" s="8" t="s">
        <v>5</v>
      </c>
      <c r="L142" s="7">
        <f>SUM(G138:G145)</f>
        <v>767</v>
      </c>
      <c r="N142" s="6"/>
      <c r="O142" s="7"/>
    </row>
    <row r="143" spans="1:15" ht="15">
      <c r="A143" s="8" t="s">
        <v>96</v>
      </c>
      <c r="B143" s="8" t="s">
        <v>446</v>
      </c>
      <c r="C143" s="8">
        <v>164</v>
      </c>
      <c r="D143" s="8">
        <v>154</v>
      </c>
      <c r="E143" s="8">
        <v>193</v>
      </c>
      <c r="F143" s="8">
        <v>140</v>
      </c>
      <c r="G143" s="8">
        <v>200</v>
      </c>
      <c r="H143" s="8">
        <v>154</v>
      </c>
      <c r="I143" s="7">
        <f t="shared" si="2"/>
        <v>1005</v>
      </c>
      <c r="K143" s="8" t="s">
        <v>6</v>
      </c>
      <c r="L143" s="7">
        <f>SUM(H138:H145)</f>
        <v>724</v>
      </c>
      <c r="N143" s="6"/>
      <c r="O143" s="7"/>
    </row>
    <row r="144" spans="1:15" ht="15">
      <c r="A144" s="8"/>
      <c r="B144" s="8"/>
      <c r="C144" s="8"/>
      <c r="D144" s="8"/>
      <c r="E144" s="8"/>
      <c r="F144" s="8"/>
      <c r="G144" s="8"/>
      <c r="H144" s="8"/>
      <c r="I144" s="7">
        <f t="shared" si="2"/>
        <v>0</v>
      </c>
      <c r="K144" s="8"/>
      <c r="L144" s="7"/>
      <c r="N144" s="6"/>
      <c r="O144" s="7"/>
    </row>
    <row r="145" spans="1:15" ht="15">
      <c r="A145" s="8"/>
      <c r="B145" s="8"/>
      <c r="C145" s="8"/>
      <c r="D145" s="8"/>
      <c r="E145" s="8"/>
      <c r="F145" s="8"/>
      <c r="G145" s="8"/>
      <c r="H145" s="8"/>
      <c r="I145" s="7">
        <f t="shared" si="2"/>
        <v>0</v>
      </c>
      <c r="K145" s="8"/>
      <c r="L145" s="7"/>
      <c r="N145" s="6"/>
      <c r="O145" s="7"/>
    </row>
    <row r="146" spans="1:15" ht="15">
      <c r="A146" s="4" t="s">
        <v>126</v>
      </c>
      <c r="B146" s="4" t="s">
        <v>447</v>
      </c>
      <c r="C146" s="4">
        <v>131</v>
      </c>
      <c r="D146" s="4">
        <v>181</v>
      </c>
      <c r="E146" s="4">
        <v>115</v>
      </c>
      <c r="F146" s="4">
        <v>159</v>
      </c>
      <c r="G146" s="4">
        <v>163</v>
      </c>
      <c r="H146" s="4">
        <v>136</v>
      </c>
      <c r="I146" s="5">
        <f t="shared" si="2"/>
        <v>885</v>
      </c>
      <c r="K146" s="4" t="s">
        <v>0</v>
      </c>
      <c r="L146" s="5">
        <f>SUM(C146:C153)</f>
        <v>689</v>
      </c>
      <c r="N146" s="9" t="str">
        <f>A146</f>
        <v>Muskingum University-Varsity</v>
      </c>
      <c r="O146" s="5">
        <f>SUM(L146:L151)</f>
        <v>4317</v>
      </c>
    </row>
    <row r="147" spans="1:15" ht="15">
      <c r="A147" s="4" t="s">
        <v>126</v>
      </c>
      <c r="B147" s="4" t="s">
        <v>654</v>
      </c>
      <c r="C147" s="4">
        <v>126</v>
      </c>
      <c r="D147" s="4">
        <v>0</v>
      </c>
      <c r="E147" s="4">
        <v>153</v>
      </c>
      <c r="F147" s="4">
        <v>125</v>
      </c>
      <c r="G147" s="4">
        <v>90</v>
      </c>
      <c r="H147" s="4">
        <v>0</v>
      </c>
      <c r="I147" s="5">
        <f t="shared" si="2"/>
        <v>494</v>
      </c>
      <c r="K147" s="4" t="s">
        <v>1</v>
      </c>
      <c r="L147" s="5">
        <f>SUM(D146:D153)</f>
        <v>757</v>
      </c>
      <c r="N147" s="9"/>
      <c r="O147" s="5"/>
    </row>
    <row r="148" spans="1:15" ht="15">
      <c r="A148" s="4" t="s">
        <v>126</v>
      </c>
      <c r="B148" s="4" t="s">
        <v>635</v>
      </c>
      <c r="C148" s="4">
        <v>174</v>
      </c>
      <c r="D148" s="4">
        <v>187</v>
      </c>
      <c r="E148" s="4">
        <v>159</v>
      </c>
      <c r="F148" s="4">
        <v>171</v>
      </c>
      <c r="G148" s="4">
        <v>184</v>
      </c>
      <c r="H148" s="4">
        <v>188</v>
      </c>
      <c r="I148" s="5">
        <f t="shared" si="2"/>
        <v>1063</v>
      </c>
      <c r="K148" s="4" t="s">
        <v>2</v>
      </c>
      <c r="L148" s="5">
        <f>SUM(E146:E153)</f>
        <v>705</v>
      </c>
      <c r="N148" s="9"/>
      <c r="O148" s="5"/>
    </row>
    <row r="149" spans="1:15" ht="15">
      <c r="A149" s="4" t="s">
        <v>126</v>
      </c>
      <c r="B149" s="4" t="s">
        <v>448</v>
      </c>
      <c r="C149" s="4">
        <v>111</v>
      </c>
      <c r="D149" s="4">
        <v>0</v>
      </c>
      <c r="E149" s="4">
        <v>0</v>
      </c>
      <c r="F149" s="4">
        <v>96</v>
      </c>
      <c r="G149" s="4">
        <v>0</v>
      </c>
      <c r="H149" s="4">
        <v>0</v>
      </c>
      <c r="I149" s="5">
        <f t="shared" si="2"/>
        <v>207</v>
      </c>
      <c r="K149" s="4" t="s">
        <v>4</v>
      </c>
      <c r="L149" s="5">
        <f>SUM(F146:F153)</f>
        <v>743</v>
      </c>
      <c r="N149" s="9"/>
      <c r="O149" s="5"/>
    </row>
    <row r="150" spans="1:15" ht="15">
      <c r="A150" s="4" t="s">
        <v>126</v>
      </c>
      <c r="B150" s="4" t="s">
        <v>449</v>
      </c>
      <c r="C150" s="4">
        <v>147</v>
      </c>
      <c r="D150" s="4">
        <v>171</v>
      </c>
      <c r="E150" s="4">
        <v>137</v>
      </c>
      <c r="F150" s="4">
        <v>192</v>
      </c>
      <c r="G150" s="4">
        <v>144</v>
      </c>
      <c r="H150" s="4">
        <v>162</v>
      </c>
      <c r="I150" s="5">
        <f t="shared" si="2"/>
        <v>953</v>
      </c>
      <c r="K150" s="4" t="s">
        <v>5</v>
      </c>
      <c r="L150" s="5">
        <f>SUM(G146:G153)</f>
        <v>693</v>
      </c>
      <c r="N150" s="9"/>
      <c r="O150" s="5"/>
    </row>
    <row r="151" spans="1:15" ht="15">
      <c r="A151" s="4" t="s">
        <v>126</v>
      </c>
      <c r="B151" s="4" t="s">
        <v>450</v>
      </c>
      <c r="C151" s="4">
        <v>0</v>
      </c>
      <c r="D151" s="4">
        <v>129</v>
      </c>
      <c r="E151" s="4">
        <v>141</v>
      </c>
      <c r="F151" s="4">
        <v>0</v>
      </c>
      <c r="G151" s="4">
        <v>112</v>
      </c>
      <c r="H151" s="4">
        <v>0</v>
      </c>
      <c r="I151" s="5">
        <f t="shared" si="2"/>
        <v>382</v>
      </c>
      <c r="K151" s="4" t="s">
        <v>6</v>
      </c>
      <c r="L151" s="5">
        <f>SUM(H146:H153)</f>
        <v>730</v>
      </c>
      <c r="N151" s="9"/>
      <c r="O151" s="5"/>
    </row>
    <row r="152" spans="1:15" ht="15">
      <c r="A152" s="4" t="s">
        <v>126</v>
      </c>
      <c r="B152" s="4" t="s">
        <v>451</v>
      </c>
      <c r="C152" s="4">
        <v>0</v>
      </c>
      <c r="D152" s="4">
        <v>89</v>
      </c>
      <c r="E152" s="4">
        <v>0</v>
      </c>
      <c r="F152" s="4">
        <v>0</v>
      </c>
      <c r="G152" s="4">
        <v>0</v>
      </c>
      <c r="H152" s="4">
        <v>113</v>
      </c>
      <c r="I152" s="5">
        <f t="shared" si="2"/>
        <v>202</v>
      </c>
      <c r="K152" s="5"/>
      <c r="L152" s="5"/>
      <c r="N152" s="9"/>
      <c r="O152" s="5"/>
    </row>
    <row r="153" spans="1:15" ht="15">
      <c r="A153" s="4" t="s">
        <v>126</v>
      </c>
      <c r="B153" s="4" t="s">
        <v>572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131</v>
      </c>
      <c r="I153" s="5">
        <f t="shared" si="2"/>
        <v>131</v>
      </c>
      <c r="K153" s="4"/>
      <c r="L153" s="5"/>
      <c r="N153" s="9"/>
      <c r="O153" s="5"/>
    </row>
    <row r="154" spans="1:15" ht="15">
      <c r="A154" s="8" t="s">
        <v>144</v>
      </c>
      <c r="B154" s="8" t="s">
        <v>452</v>
      </c>
      <c r="C154" s="8">
        <v>152</v>
      </c>
      <c r="D154" s="8">
        <v>202</v>
      </c>
      <c r="E154" s="8">
        <v>150</v>
      </c>
      <c r="F154" s="8">
        <v>201</v>
      </c>
      <c r="G154" s="8">
        <v>182</v>
      </c>
      <c r="H154" s="8">
        <v>200</v>
      </c>
      <c r="I154" s="7">
        <f t="shared" si="2"/>
        <v>1087</v>
      </c>
      <c r="K154" s="8" t="s">
        <v>0</v>
      </c>
      <c r="L154" s="7">
        <f>SUM(C154:C161)</f>
        <v>853</v>
      </c>
      <c r="N154" s="6" t="str">
        <f>A154</f>
        <v>Notre Dame College-Varsity</v>
      </c>
      <c r="O154" s="7">
        <f>SUM(L154:L159)</f>
        <v>5346</v>
      </c>
    </row>
    <row r="155" spans="1:15" ht="15">
      <c r="A155" s="8" t="s">
        <v>144</v>
      </c>
      <c r="B155" s="8" t="s">
        <v>453</v>
      </c>
      <c r="C155" s="8">
        <v>160</v>
      </c>
      <c r="D155" s="8">
        <v>143</v>
      </c>
      <c r="E155" s="8">
        <v>173</v>
      </c>
      <c r="F155" s="8">
        <v>178</v>
      </c>
      <c r="G155" s="8">
        <v>153</v>
      </c>
      <c r="H155" s="8">
        <v>166</v>
      </c>
      <c r="I155" s="7">
        <f t="shared" si="2"/>
        <v>973</v>
      </c>
      <c r="K155" s="8" t="s">
        <v>1</v>
      </c>
      <c r="L155" s="7">
        <f>SUM(D154:D161)</f>
        <v>829</v>
      </c>
      <c r="N155" s="6"/>
      <c r="O155" s="7"/>
    </row>
    <row r="156" spans="1:15" ht="15">
      <c r="A156" s="8" t="s">
        <v>144</v>
      </c>
      <c r="B156" s="8" t="s">
        <v>454</v>
      </c>
      <c r="C156" s="8">
        <v>187</v>
      </c>
      <c r="D156" s="8">
        <v>159</v>
      </c>
      <c r="E156" s="8">
        <v>185</v>
      </c>
      <c r="F156" s="8">
        <v>155</v>
      </c>
      <c r="G156" s="8">
        <v>160</v>
      </c>
      <c r="H156" s="8">
        <v>245</v>
      </c>
      <c r="I156" s="7">
        <f t="shared" si="2"/>
        <v>1091</v>
      </c>
      <c r="K156" s="8" t="s">
        <v>2</v>
      </c>
      <c r="L156" s="7">
        <f>SUM(E154:E161)</f>
        <v>853</v>
      </c>
      <c r="N156" s="6"/>
      <c r="O156" s="7"/>
    </row>
    <row r="157" spans="1:15" ht="15">
      <c r="A157" s="8" t="s">
        <v>144</v>
      </c>
      <c r="B157" s="8" t="s">
        <v>455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7">
        <f t="shared" si="2"/>
        <v>0</v>
      </c>
      <c r="K157" s="8" t="s">
        <v>4</v>
      </c>
      <c r="L157" s="7">
        <f>SUM(F154:F161)</f>
        <v>929</v>
      </c>
      <c r="N157" s="6"/>
      <c r="O157" s="7"/>
    </row>
    <row r="158" spans="1:15" ht="15">
      <c r="A158" s="8" t="s">
        <v>144</v>
      </c>
      <c r="B158" s="8" t="s">
        <v>456</v>
      </c>
      <c r="C158" s="8">
        <v>183</v>
      </c>
      <c r="D158" s="8">
        <v>185</v>
      </c>
      <c r="E158" s="8">
        <v>164</v>
      </c>
      <c r="F158" s="8">
        <v>203</v>
      </c>
      <c r="G158" s="8">
        <v>226</v>
      </c>
      <c r="H158" s="8">
        <v>214</v>
      </c>
      <c r="I158" s="7">
        <f t="shared" si="2"/>
        <v>1175</v>
      </c>
      <c r="K158" s="8" t="s">
        <v>5</v>
      </c>
      <c r="L158" s="7">
        <f>SUM(G154:G161)</f>
        <v>895</v>
      </c>
      <c r="N158" s="6"/>
      <c r="O158" s="7"/>
    </row>
    <row r="159" spans="1:15" ht="15">
      <c r="A159" s="8" t="s">
        <v>144</v>
      </c>
      <c r="B159" s="8" t="s">
        <v>457</v>
      </c>
      <c r="C159" s="8">
        <v>171</v>
      </c>
      <c r="D159" s="8">
        <v>140</v>
      </c>
      <c r="E159" s="8">
        <v>181</v>
      </c>
      <c r="F159" s="8">
        <v>192</v>
      </c>
      <c r="G159" s="8">
        <v>174</v>
      </c>
      <c r="H159" s="8">
        <v>162</v>
      </c>
      <c r="I159" s="7">
        <f t="shared" si="2"/>
        <v>1020</v>
      </c>
      <c r="K159" s="8" t="s">
        <v>6</v>
      </c>
      <c r="L159" s="7">
        <f>SUM(H154:H161)</f>
        <v>987</v>
      </c>
      <c r="N159" s="6"/>
      <c r="O159" s="7"/>
    </row>
    <row r="160" spans="1:15" ht="15">
      <c r="A160" s="8"/>
      <c r="B160" s="8"/>
      <c r="C160" s="8"/>
      <c r="D160" s="8"/>
      <c r="E160" s="8"/>
      <c r="F160" s="8"/>
      <c r="G160" s="8"/>
      <c r="H160" s="8"/>
      <c r="I160" s="7">
        <f t="shared" si="2"/>
        <v>0</v>
      </c>
      <c r="K160" s="8"/>
      <c r="L160" s="7"/>
      <c r="N160" s="6"/>
      <c r="O160" s="7"/>
    </row>
    <row r="161" spans="1:15" ht="15">
      <c r="A161" s="8"/>
      <c r="B161" s="8"/>
      <c r="C161" s="8"/>
      <c r="D161" s="8"/>
      <c r="E161" s="8"/>
      <c r="F161" s="8"/>
      <c r="G161" s="8"/>
      <c r="H161" s="8"/>
      <c r="I161" s="7">
        <f t="shared" si="2"/>
        <v>0</v>
      </c>
      <c r="K161" s="8"/>
      <c r="L161" s="7"/>
      <c r="N161" s="6"/>
      <c r="O161" s="7"/>
    </row>
    <row r="162" spans="1:15" ht="15">
      <c r="A162" s="4" t="s">
        <v>153</v>
      </c>
      <c r="B162" s="4" t="s">
        <v>458</v>
      </c>
      <c r="C162" s="4">
        <v>167</v>
      </c>
      <c r="D162" s="4">
        <v>199</v>
      </c>
      <c r="E162" s="4">
        <v>168</v>
      </c>
      <c r="F162" s="4">
        <v>183</v>
      </c>
      <c r="G162" s="4">
        <v>168</v>
      </c>
      <c r="H162" s="4">
        <v>214</v>
      </c>
      <c r="I162" s="5">
        <f t="shared" si="2"/>
        <v>1099</v>
      </c>
      <c r="K162" s="4" t="s">
        <v>0</v>
      </c>
      <c r="L162" s="5">
        <f>SUM(C162:C169)</f>
        <v>770</v>
      </c>
      <c r="N162" s="9" t="str">
        <f>A162</f>
        <v>Notre Dame College-Junior Varsity</v>
      </c>
      <c r="O162" s="5">
        <f>SUM(L162:L167)</f>
        <v>4778</v>
      </c>
    </row>
    <row r="163" spans="1:15" ht="15">
      <c r="A163" s="4" t="s">
        <v>153</v>
      </c>
      <c r="B163" s="4" t="s">
        <v>459</v>
      </c>
      <c r="C163" s="4">
        <v>163</v>
      </c>
      <c r="D163" s="4">
        <v>178</v>
      </c>
      <c r="E163" s="4">
        <v>129</v>
      </c>
      <c r="F163" s="4">
        <v>178</v>
      </c>
      <c r="G163" s="4">
        <v>177</v>
      </c>
      <c r="H163" s="4">
        <v>126</v>
      </c>
      <c r="I163" s="5">
        <f t="shared" si="2"/>
        <v>951</v>
      </c>
      <c r="K163" s="4" t="s">
        <v>1</v>
      </c>
      <c r="L163" s="5">
        <f>SUM(D162:D169)</f>
        <v>754</v>
      </c>
      <c r="N163" s="9"/>
      <c r="O163" s="5"/>
    </row>
    <row r="164" spans="1:15" ht="15">
      <c r="A164" s="4" t="s">
        <v>153</v>
      </c>
      <c r="B164" s="4" t="s">
        <v>460</v>
      </c>
      <c r="C164" s="4">
        <v>112</v>
      </c>
      <c r="D164" s="4">
        <v>116</v>
      </c>
      <c r="E164" s="4">
        <v>0</v>
      </c>
      <c r="F164" s="4">
        <v>0</v>
      </c>
      <c r="G164" s="4">
        <v>0</v>
      </c>
      <c r="H164" s="4">
        <v>213</v>
      </c>
      <c r="I164" s="5">
        <f t="shared" si="2"/>
        <v>441</v>
      </c>
      <c r="K164" s="4" t="s">
        <v>2</v>
      </c>
      <c r="L164" s="5">
        <f>SUM(E162:E169)</f>
        <v>754</v>
      </c>
      <c r="N164" s="9"/>
      <c r="O164" s="5"/>
    </row>
    <row r="165" spans="1:15" ht="15">
      <c r="A165" s="4" t="s">
        <v>153</v>
      </c>
      <c r="B165" s="4" t="s">
        <v>461</v>
      </c>
      <c r="C165" s="4">
        <v>120</v>
      </c>
      <c r="D165" s="4">
        <v>121</v>
      </c>
      <c r="E165" s="4">
        <v>150</v>
      </c>
      <c r="F165" s="4">
        <v>159</v>
      </c>
      <c r="G165" s="4">
        <v>177</v>
      </c>
      <c r="H165" s="4">
        <v>120</v>
      </c>
      <c r="I165" s="5">
        <f t="shared" si="2"/>
        <v>847</v>
      </c>
      <c r="K165" s="4" t="s">
        <v>4</v>
      </c>
      <c r="L165" s="5">
        <f>SUM(F162:F169)</f>
        <v>799</v>
      </c>
      <c r="N165" s="9"/>
      <c r="O165" s="5"/>
    </row>
    <row r="166" spans="1:15" ht="15">
      <c r="A166" s="4" t="s">
        <v>153</v>
      </c>
      <c r="B166" s="4" t="s">
        <v>462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5">
        <f t="shared" si="2"/>
        <v>0</v>
      </c>
      <c r="K166" s="4" t="s">
        <v>5</v>
      </c>
      <c r="L166" s="5">
        <f>SUM(G162:G169)</f>
        <v>866</v>
      </c>
      <c r="N166" s="9"/>
      <c r="O166" s="5"/>
    </row>
    <row r="167" spans="1:15" ht="15">
      <c r="A167" s="4" t="s">
        <v>153</v>
      </c>
      <c r="B167" s="4" t="s">
        <v>463</v>
      </c>
      <c r="C167" s="4">
        <v>208</v>
      </c>
      <c r="D167" s="4">
        <v>140</v>
      </c>
      <c r="E167" s="4">
        <v>163</v>
      </c>
      <c r="F167" s="4">
        <v>159</v>
      </c>
      <c r="G167" s="4">
        <v>149</v>
      </c>
      <c r="H167" s="4">
        <v>162</v>
      </c>
      <c r="I167" s="5">
        <f t="shared" si="2"/>
        <v>981</v>
      </c>
      <c r="K167" s="4" t="s">
        <v>6</v>
      </c>
      <c r="L167" s="5">
        <f>SUM(H162:H169)</f>
        <v>835</v>
      </c>
      <c r="N167" s="9"/>
      <c r="O167" s="5"/>
    </row>
    <row r="168" spans="1:15" ht="15">
      <c r="A168" s="4" t="s">
        <v>153</v>
      </c>
      <c r="B168" s="4" t="s">
        <v>464</v>
      </c>
      <c r="C168" s="4">
        <v>0</v>
      </c>
      <c r="D168" s="4">
        <v>0</v>
      </c>
      <c r="E168" s="4">
        <v>144</v>
      </c>
      <c r="F168" s="4">
        <v>120</v>
      </c>
      <c r="G168" s="4">
        <v>195</v>
      </c>
      <c r="H168" s="4">
        <v>0</v>
      </c>
      <c r="I168" s="5">
        <f t="shared" si="2"/>
        <v>459</v>
      </c>
      <c r="K168" s="5"/>
      <c r="L168" s="5"/>
      <c r="N168" s="9"/>
      <c r="O168" s="5"/>
    </row>
    <row r="169" spans="1:15" ht="15">
      <c r="A169" s="4" t="s">
        <v>153</v>
      </c>
      <c r="B169" s="4" t="s">
        <v>465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5">
        <f t="shared" si="2"/>
        <v>0</v>
      </c>
      <c r="K169" s="4"/>
      <c r="L169" s="5"/>
      <c r="N169" s="9"/>
      <c r="O169" s="5"/>
    </row>
    <row r="170" spans="1:15" ht="15">
      <c r="A170" s="8" t="s">
        <v>162</v>
      </c>
      <c r="B170" s="8" t="s">
        <v>466</v>
      </c>
      <c r="C170" s="8">
        <v>166</v>
      </c>
      <c r="D170" s="8">
        <v>199</v>
      </c>
      <c r="E170" s="8">
        <v>173</v>
      </c>
      <c r="F170" s="8">
        <v>103</v>
      </c>
      <c r="G170" s="8">
        <v>126</v>
      </c>
      <c r="H170" s="8">
        <v>0</v>
      </c>
      <c r="I170" s="7">
        <f t="shared" si="2"/>
        <v>767</v>
      </c>
      <c r="K170" s="8" t="s">
        <v>0</v>
      </c>
      <c r="L170" s="7">
        <f>SUM(C170:C177)</f>
        <v>792</v>
      </c>
      <c r="N170" s="6" t="str">
        <f>A170</f>
        <v>Purdue University-Varsity</v>
      </c>
      <c r="O170" s="7">
        <f>SUM(L170:L175)</f>
        <v>4550</v>
      </c>
    </row>
    <row r="171" spans="1:15" ht="15">
      <c r="A171" s="8" t="s">
        <v>162</v>
      </c>
      <c r="B171" s="8" t="s">
        <v>467</v>
      </c>
      <c r="C171" s="8">
        <v>0</v>
      </c>
      <c r="D171" s="8">
        <v>129</v>
      </c>
      <c r="E171" s="8">
        <v>133</v>
      </c>
      <c r="F171" s="8">
        <v>0</v>
      </c>
      <c r="G171" s="8">
        <v>139</v>
      </c>
      <c r="H171" s="8">
        <v>134</v>
      </c>
      <c r="I171" s="7">
        <f t="shared" si="2"/>
        <v>535</v>
      </c>
      <c r="K171" s="8" t="s">
        <v>1</v>
      </c>
      <c r="L171" s="7">
        <f>SUM(D170:D177)</f>
        <v>762</v>
      </c>
      <c r="N171" s="6"/>
      <c r="O171" s="7"/>
    </row>
    <row r="172" spans="1:15" ht="15">
      <c r="A172" s="8" t="s">
        <v>162</v>
      </c>
      <c r="B172" s="8" t="s">
        <v>468</v>
      </c>
      <c r="C172" s="8">
        <v>105</v>
      </c>
      <c r="D172" s="8">
        <v>0</v>
      </c>
      <c r="E172" s="8">
        <v>0</v>
      </c>
      <c r="F172" s="8">
        <v>169</v>
      </c>
      <c r="G172" s="8">
        <v>132</v>
      </c>
      <c r="H172" s="8">
        <v>169</v>
      </c>
      <c r="I172" s="7">
        <f t="shared" si="2"/>
        <v>575</v>
      </c>
      <c r="K172" s="8" t="s">
        <v>2</v>
      </c>
      <c r="L172" s="7">
        <f>SUM(E170:E177)</f>
        <v>817</v>
      </c>
      <c r="N172" s="6"/>
      <c r="O172" s="7"/>
    </row>
    <row r="173" spans="1:15" ht="15">
      <c r="A173" s="8" t="s">
        <v>162</v>
      </c>
      <c r="B173" s="8" t="s">
        <v>469</v>
      </c>
      <c r="C173" s="8">
        <v>146</v>
      </c>
      <c r="D173" s="8">
        <v>131</v>
      </c>
      <c r="E173" s="8">
        <v>146</v>
      </c>
      <c r="F173" s="8">
        <v>131</v>
      </c>
      <c r="G173" s="8">
        <v>0</v>
      </c>
      <c r="H173" s="8">
        <v>134</v>
      </c>
      <c r="I173" s="7">
        <f t="shared" si="2"/>
        <v>688</v>
      </c>
      <c r="K173" s="8" t="s">
        <v>4</v>
      </c>
      <c r="L173" s="7">
        <f>SUM(F170:F177)</f>
        <v>663</v>
      </c>
      <c r="N173" s="6"/>
      <c r="O173" s="7"/>
    </row>
    <row r="174" spans="1:15" ht="15">
      <c r="A174" s="8" t="s">
        <v>162</v>
      </c>
      <c r="B174" s="8" t="s">
        <v>470</v>
      </c>
      <c r="C174" s="8">
        <v>200</v>
      </c>
      <c r="D174" s="8">
        <v>140</v>
      </c>
      <c r="E174" s="8">
        <v>199</v>
      </c>
      <c r="F174" s="8">
        <v>124</v>
      </c>
      <c r="G174" s="8">
        <v>162</v>
      </c>
      <c r="H174" s="8">
        <v>177</v>
      </c>
      <c r="I174" s="7">
        <f t="shared" si="2"/>
        <v>1002</v>
      </c>
      <c r="K174" s="8" t="s">
        <v>5</v>
      </c>
      <c r="L174" s="7">
        <f>SUM(G170:G177)</f>
        <v>712</v>
      </c>
      <c r="N174" s="6"/>
      <c r="O174" s="7"/>
    </row>
    <row r="175" spans="1:15" ht="15">
      <c r="A175" s="8" t="s">
        <v>162</v>
      </c>
      <c r="B175" s="8" t="s">
        <v>471</v>
      </c>
      <c r="C175" s="8">
        <v>175</v>
      </c>
      <c r="D175" s="8">
        <v>163</v>
      </c>
      <c r="E175" s="8">
        <v>166</v>
      </c>
      <c r="F175" s="8">
        <v>136</v>
      </c>
      <c r="G175" s="8">
        <v>153</v>
      </c>
      <c r="H175" s="8">
        <v>190</v>
      </c>
      <c r="I175" s="7">
        <f t="shared" si="2"/>
        <v>983</v>
      </c>
      <c r="K175" s="8" t="s">
        <v>6</v>
      </c>
      <c r="L175" s="7">
        <f>SUM(H170:H177)</f>
        <v>804</v>
      </c>
      <c r="N175" s="6"/>
      <c r="O175" s="7"/>
    </row>
    <row r="176" spans="1:15" ht="15">
      <c r="A176" s="8"/>
      <c r="B176" s="8"/>
      <c r="C176" s="8"/>
      <c r="D176" s="8"/>
      <c r="E176" s="8"/>
      <c r="F176" s="8"/>
      <c r="G176" s="8"/>
      <c r="H176" s="8"/>
      <c r="I176" s="7">
        <f t="shared" si="2"/>
        <v>0</v>
      </c>
      <c r="K176" s="8"/>
      <c r="L176" s="7"/>
      <c r="N176" s="6"/>
      <c r="O176" s="7"/>
    </row>
    <row r="177" spans="1:15" ht="15">
      <c r="A177" s="8"/>
      <c r="B177" s="8"/>
      <c r="C177" s="8"/>
      <c r="D177" s="8"/>
      <c r="E177" s="8"/>
      <c r="F177" s="8"/>
      <c r="G177" s="8"/>
      <c r="H177" s="8"/>
      <c r="I177" s="7">
        <f t="shared" si="2"/>
        <v>0</v>
      </c>
      <c r="K177" s="8"/>
      <c r="L177" s="7"/>
      <c r="N177" s="6"/>
      <c r="O177" s="7"/>
    </row>
    <row r="178" spans="1:15" ht="15">
      <c r="A178" s="4" t="s">
        <v>472</v>
      </c>
      <c r="B178" s="4" t="s">
        <v>473</v>
      </c>
      <c r="C178" s="4">
        <v>174</v>
      </c>
      <c r="D178" s="4">
        <v>188</v>
      </c>
      <c r="E178" s="4">
        <v>189</v>
      </c>
      <c r="F178" s="4">
        <v>223</v>
      </c>
      <c r="G178" s="4">
        <v>201</v>
      </c>
      <c r="H178" s="4">
        <v>175</v>
      </c>
      <c r="I178" s="5">
        <f t="shared" si="2"/>
        <v>1150</v>
      </c>
      <c r="K178" s="4" t="s">
        <v>0</v>
      </c>
      <c r="L178" s="5">
        <f>SUM(C178:C185)</f>
        <v>900</v>
      </c>
      <c r="N178" s="9" t="str">
        <f>A178</f>
        <v>Robert Morris Univ. of Illinois-Varsity</v>
      </c>
      <c r="O178" s="5">
        <f>SUM(L178:L183)</f>
        <v>5433</v>
      </c>
    </row>
    <row r="179" spans="1:15" ht="15">
      <c r="A179" s="4" t="s">
        <v>472</v>
      </c>
      <c r="B179" s="4" t="s">
        <v>474</v>
      </c>
      <c r="C179" s="4">
        <v>163</v>
      </c>
      <c r="D179" s="4">
        <v>198</v>
      </c>
      <c r="E179" s="4">
        <v>203</v>
      </c>
      <c r="F179" s="4">
        <v>166</v>
      </c>
      <c r="G179" s="4">
        <v>175</v>
      </c>
      <c r="H179" s="4">
        <v>196</v>
      </c>
      <c r="I179" s="5">
        <f t="shared" si="2"/>
        <v>1101</v>
      </c>
      <c r="K179" s="4" t="s">
        <v>1</v>
      </c>
      <c r="L179" s="5">
        <f>SUM(D178:D185)</f>
        <v>915</v>
      </c>
      <c r="N179" s="9"/>
      <c r="O179" s="5"/>
    </row>
    <row r="180" spans="1:15" ht="15">
      <c r="A180" s="4" t="s">
        <v>472</v>
      </c>
      <c r="B180" s="4" t="s">
        <v>475</v>
      </c>
      <c r="C180" s="4">
        <v>218</v>
      </c>
      <c r="D180" s="4">
        <v>175</v>
      </c>
      <c r="E180" s="4">
        <v>207</v>
      </c>
      <c r="F180" s="4">
        <v>172</v>
      </c>
      <c r="G180" s="4">
        <v>206</v>
      </c>
      <c r="H180" s="4">
        <v>174</v>
      </c>
      <c r="I180" s="5">
        <f t="shared" si="2"/>
        <v>1152</v>
      </c>
      <c r="K180" s="4" t="s">
        <v>2</v>
      </c>
      <c r="L180" s="5">
        <f>SUM(E178:E185)</f>
        <v>931</v>
      </c>
      <c r="N180" s="9"/>
      <c r="O180" s="5"/>
    </row>
    <row r="181" spans="1:15" ht="15">
      <c r="A181" s="4" t="s">
        <v>472</v>
      </c>
      <c r="B181" s="4" t="s">
        <v>476</v>
      </c>
      <c r="C181" s="4">
        <v>179</v>
      </c>
      <c r="D181" s="4">
        <v>180</v>
      </c>
      <c r="E181" s="4">
        <v>0</v>
      </c>
      <c r="F181" s="4">
        <v>170</v>
      </c>
      <c r="G181" s="4">
        <v>164</v>
      </c>
      <c r="H181" s="4">
        <v>0</v>
      </c>
      <c r="I181" s="5">
        <f t="shared" si="2"/>
        <v>693</v>
      </c>
      <c r="K181" s="4" t="s">
        <v>4</v>
      </c>
      <c r="L181" s="5">
        <f>SUM(F178:F185)</f>
        <v>892</v>
      </c>
      <c r="N181" s="9"/>
      <c r="O181" s="5"/>
    </row>
    <row r="182" spans="1:15" ht="15">
      <c r="A182" s="4" t="s">
        <v>472</v>
      </c>
      <c r="B182" s="4" t="s">
        <v>477</v>
      </c>
      <c r="C182" s="4">
        <v>0</v>
      </c>
      <c r="D182" s="4">
        <v>174</v>
      </c>
      <c r="E182" s="4">
        <v>0</v>
      </c>
      <c r="F182" s="4">
        <v>161</v>
      </c>
      <c r="G182" s="4">
        <v>0</v>
      </c>
      <c r="H182" s="4">
        <v>0</v>
      </c>
      <c r="I182" s="5">
        <f t="shared" si="2"/>
        <v>335</v>
      </c>
      <c r="K182" s="4" t="s">
        <v>5</v>
      </c>
      <c r="L182" s="5">
        <f>SUM(G178:G185)</f>
        <v>944</v>
      </c>
      <c r="N182" s="9"/>
      <c r="O182" s="5"/>
    </row>
    <row r="183" spans="1:15" ht="15">
      <c r="A183" s="4" t="s">
        <v>472</v>
      </c>
      <c r="B183" s="4" t="s">
        <v>480</v>
      </c>
      <c r="C183" s="4">
        <v>0</v>
      </c>
      <c r="D183" s="4">
        <v>0</v>
      </c>
      <c r="E183" s="4">
        <v>172</v>
      </c>
      <c r="F183" s="4">
        <v>0</v>
      </c>
      <c r="G183" s="4">
        <v>0</v>
      </c>
      <c r="H183" s="4">
        <v>155</v>
      </c>
      <c r="I183" s="5">
        <f t="shared" si="2"/>
        <v>327</v>
      </c>
      <c r="K183" s="4" t="s">
        <v>6</v>
      </c>
      <c r="L183" s="5">
        <f>SUM(H178:H185)</f>
        <v>851</v>
      </c>
      <c r="N183" s="9"/>
      <c r="O183" s="5"/>
    </row>
    <row r="184" spans="1:15" ht="15">
      <c r="A184" s="4" t="s">
        <v>472</v>
      </c>
      <c r="B184" s="4" t="s">
        <v>478</v>
      </c>
      <c r="C184" s="4">
        <v>166</v>
      </c>
      <c r="D184" s="4">
        <v>0</v>
      </c>
      <c r="E184" s="4">
        <v>160</v>
      </c>
      <c r="F184" s="4">
        <v>0</v>
      </c>
      <c r="G184" s="4">
        <v>198</v>
      </c>
      <c r="H184" s="4">
        <v>151</v>
      </c>
      <c r="I184" s="5">
        <f t="shared" si="2"/>
        <v>675</v>
      </c>
      <c r="K184" s="5"/>
      <c r="L184" s="5"/>
      <c r="N184" s="9"/>
      <c r="O184" s="5"/>
    </row>
    <row r="185" spans="1:15" ht="15">
      <c r="A185" s="9"/>
      <c r="B185" s="4"/>
      <c r="C185" s="4"/>
      <c r="D185" s="4"/>
      <c r="E185" s="4"/>
      <c r="F185" s="4"/>
      <c r="G185" s="4"/>
      <c r="H185" s="4"/>
      <c r="I185" s="5">
        <f t="shared" si="2"/>
        <v>0</v>
      </c>
      <c r="K185" s="4"/>
      <c r="L185" s="5"/>
      <c r="N185" s="9"/>
      <c r="O185" s="5"/>
    </row>
    <row r="186" spans="1:15" ht="15">
      <c r="A186" s="8" t="s">
        <v>479</v>
      </c>
      <c r="B186" s="8" t="s">
        <v>574</v>
      </c>
      <c r="C186" s="8">
        <v>185</v>
      </c>
      <c r="D186" s="8">
        <v>149</v>
      </c>
      <c r="E186" s="8">
        <v>145</v>
      </c>
      <c r="F186" s="8">
        <v>0</v>
      </c>
      <c r="G186" s="8">
        <v>0</v>
      </c>
      <c r="H186" s="8">
        <v>174</v>
      </c>
      <c r="I186" s="7">
        <f t="shared" si="2"/>
        <v>653</v>
      </c>
      <c r="K186" s="8" t="s">
        <v>0</v>
      </c>
      <c r="L186" s="7">
        <f>SUM(C186:C193)</f>
        <v>861</v>
      </c>
      <c r="N186" s="6" t="str">
        <f>A186</f>
        <v>Robert Morris Univ of Illinois-Junior Varsity Tm #1</v>
      </c>
      <c r="O186" s="7">
        <f>SUM(L186:L191)</f>
        <v>5085</v>
      </c>
    </row>
    <row r="187" spans="1:15" ht="15">
      <c r="A187" s="8" t="s">
        <v>479</v>
      </c>
      <c r="B187" s="8" t="s">
        <v>481</v>
      </c>
      <c r="C187" s="8">
        <v>208</v>
      </c>
      <c r="D187" s="8">
        <v>162</v>
      </c>
      <c r="E187" s="8">
        <v>187</v>
      </c>
      <c r="F187" s="8">
        <v>174</v>
      </c>
      <c r="G187" s="8">
        <v>183</v>
      </c>
      <c r="H187" s="8">
        <v>180</v>
      </c>
      <c r="I187" s="7">
        <f t="shared" si="2"/>
        <v>1094</v>
      </c>
      <c r="K187" s="8" t="s">
        <v>1</v>
      </c>
      <c r="L187" s="7">
        <f>SUM(D186:D193)</f>
        <v>778</v>
      </c>
      <c r="N187" s="6"/>
      <c r="O187" s="7"/>
    </row>
    <row r="188" spans="1:15" ht="15">
      <c r="A188" s="8" t="s">
        <v>479</v>
      </c>
      <c r="B188" s="8" t="s">
        <v>482</v>
      </c>
      <c r="C188" s="8">
        <v>156</v>
      </c>
      <c r="D188" s="8">
        <v>170</v>
      </c>
      <c r="E188" s="8">
        <v>180</v>
      </c>
      <c r="F188" s="8">
        <v>153</v>
      </c>
      <c r="G188" s="8">
        <v>140</v>
      </c>
      <c r="H188" s="8">
        <v>0</v>
      </c>
      <c r="I188" s="7">
        <f t="shared" si="2"/>
        <v>799</v>
      </c>
      <c r="K188" s="8" t="s">
        <v>2</v>
      </c>
      <c r="L188" s="7">
        <f>SUM(E186:E193)</f>
        <v>844</v>
      </c>
      <c r="N188" s="6"/>
      <c r="O188" s="7"/>
    </row>
    <row r="189" spans="1:15" ht="15">
      <c r="A189" s="8" t="s">
        <v>479</v>
      </c>
      <c r="B189" s="8" t="s">
        <v>573</v>
      </c>
      <c r="C189" s="8">
        <v>0</v>
      </c>
      <c r="D189" s="8">
        <v>0</v>
      </c>
      <c r="E189" s="8">
        <v>0</v>
      </c>
      <c r="F189" s="8">
        <v>161</v>
      </c>
      <c r="G189" s="8">
        <v>210</v>
      </c>
      <c r="H189" s="8">
        <v>158</v>
      </c>
      <c r="I189" s="7">
        <f t="shared" si="2"/>
        <v>529</v>
      </c>
      <c r="K189" s="8" t="s">
        <v>4</v>
      </c>
      <c r="L189" s="7">
        <f>SUM(F186:F193)</f>
        <v>834</v>
      </c>
      <c r="N189" s="6"/>
      <c r="O189" s="7"/>
    </row>
    <row r="190" spans="1:15" ht="15">
      <c r="A190" s="8" t="s">
        <v>479</v>
      </c>
      <c r="B190" s="8" t="s">
        <v>483</v>
      </c>
      <c r="C190" s="8">
        <v>0</v>
      </c>
      <c r="D190" s="8">
        <v>152</v>
      </c>
      <c r="E190" s="8">
        <v>143</v>
      </c>
      <c r="F190" s="8">
        <v>0</v>
      </c>
      <c r="G190" s="8">
        <v>0</v>
      </c>
      <c r="H190" s="8">
        <v>0</v>
      </c>
      <c r="I190" s="7">
        <f t="shared" si="2"/>
        <v>295</v>
      </c>
      <c r="K190" s="8" t="s">
        <v>5</v>
      </c>
      <c r="L190" s="7">
        <f>SUM(G186:G193)</f>
        <v>875</v>
      </c>
      <c r="N190" s="6"/>
      <c r="O190" s="7"/>
    </row>
    <row r="191" spans="1:15" ht="15">
      <c r="A191" s="8" t="s">
        <v>479</v>
      </c>
      <c r="B191" s="8" t="s">
        <v>484</v>
      </c>
      <c r="C191" s="8">
        <v>191</v>
      </c>
      <c r="D191" s="8">
        <v>145</v>
      </c>
      <c r="E191" s="8">
        <v>189</v>
      </c>
      <c r="F191" s="8">
        <v>197</v>
      </c>
      <c r="G191" s="8">
        <v>170</v>
      </c>
      <c r="H191" s="8">
        <v>193</v>
      </c>
      <c r="I191" s="7">
        <f t="shared" si="2"/>
        <v>1085</v>
      </c>
      <c r="K191" s="8" t="s">
        <v>6</v>
      </c>
      <c r="L191" s="7">
        <f>SUM(H186:H193)</f>
        <v>893</v>
      </c>
      <c r="N191" s="6"/>
      <c r="O191" s="7"/>
    </row>
    <row r="192" spans="1:15" ht="15">
      <c r="A192" s="8" t="s">
        <v>479</v>
      </c>
      <c r="B192" s="8" t="s">
        <v>485</v>
      </c>
      <c r="C192" s="8">
        <v>121</v>
      </c>
      <c r="D192" s="8">
        <v>0</v>
      </c>
      <c r="E192" s="8">
        <v>0</v>
      </c>
      <c r="F192" s="8">
        <v>149</v>
      </c>
      <c r="G192" s="8">
        <v>172</v>
      </c>
      <c r="H192" s="8">
        <v>188</v>
      </c>
      <c r="I192" s="7">
        <f t="shared" si="2"/>
        <v>630</v>
      </c>
      <c r="K192" s="8"/>
      <c r="L192" s="7"/>
      <c r="N192" s="6"/>
      <c r="O192" s="7"/>
    </row>
    <row r="193" spans="1:15" ht="15">
      <c r="A193" s="8"/>
      <c r="B193" s="8"/>
      <c r="C193" s="8"/>
      <c r="D193" s="8"/>
      <c r="E193" s="8"/>
      <c r="F193" s="8"/>
      <c r="G193" s="8"/>
      <c r="H193" s="8"/>
      <c r="I193" s="7">
        <f t="shared" si="2"/>
        <v>0</v>
      </c>
      <c r="K193" s="8"/>
      <c r="L193" s="7"/>
      <c r="N193" s="6"/>
      <c r="O193" s="7"/>
    </row>
    <row r="194" spans="1:15" ht="15">
      <c r="A194" s="4" t="s">
        <v>486</v>
      </c>
      <c r="B194" s="4" t="s">
        <v>487</v>
      </c>
      <c r="C194" s="4">
        <v>141</v>
      </c>
      <c r="D194" s="4">
        <v>188</v>
      </c>
      <c r="E194" s="4">
        <v>172</v>
      </c>
      <c r="F194" s="4">
        <v>162</v>
      </c>
      <c r="G194" s="4">
        <v>144</v>
      </c>
      <c r="H194" s="4">
        <v>0</v>
      </c>
      <c r="I194" s="5">
        <f aca="true" t="shared" si="3" ref="I194:I257">SUM(C194:H194)</f>
        <v>807</v>
      </c>
      <c r="K194" s="4" t="s">
        <v>0</v>
      </c>
      <c r="L194" s="5">
        <f>SUM(C194:C201)</f>
        <v>744</v>
      </c>
      <c r="N194" s="9" t="str">
        <f>A194</f>
        <v>Robert Morris Univ of Illinois-Junior Varsity Tm #2</v>
      </c>
      <c r="O194" s="5">
        <f>SUM(L194:L199)</f>
        <v>4689</v>
      </c>
    </row>
    <row r="195" spans="1:15" ht="15">
      <c r="A195" s="4" t="s">
        <v>486</v>
      </c>
      <c r="B195" s="4" t="s">
        <v>488</v>
      </c>
      <c r="C195" s="4">
        <v>0</v>
      </c>
      <c r="D195" s="4">
        <v>0</v>
      </c>
      <c r="E195" s="4">
        <v>127</v>
      </c>
      <c r="F195" s="4">
        <v>169</v>
      </c>
      <c r="G195" s="4">
        <v>172</v>
      </c>
      <c r="H195" s="4">
        <v>155</v>
      </c>
      <c r="I195" s="5">
        <f t="shared" si="3"/>
        <v>623</v>
      </c>
      <c r="K195" s="4" t="s">
        <v>1</v>
      </c>
      <c r="L195" s="5">
        <f>SUM(D194:D201)</f>
        <v>797</v>
      </c>
      <c r="N195" s="9"/>
      <c r="O195" s="5"/>
    </row>
    <row r="196" spans="1:15" ht="15">
      <c r="A196" s="4" t="s">
        <v>486</v>
      </c>
      <c r="B196" s="4" t="s">
        <v>489</v>
      </c>
      <c r="C196" s="4">
        <v>161</v>
      </c>
      <c r="D196" s="4">
        <v>113</v>
      </c>
      <c r="E196" s="4">
        <v>0</v>
      </c>
      <c r="F196" s="4">
        <v>160</v>
      </c>
      <c r="G196" s="4">
        <v>186</v>
      </c>
      <c r="H196" s="4">
        <v>153</v>
      </c>
      <c r="I196" s="5">
        <f t="shared" si="3"/>
        <v>773</v>
      </c>
      <c r="K196" s="4" t="s">
        <v>2</v>
      </c>
      <c r="L196" s="5">
        <f>SUM(E194:E201)</f>
        <v>789</v>
      </c>
      <c r="N196" s="9"/>
      <c r="O196" s="5"/>
    </row>
    <row r="197" spans="1:15" ht="15">
      <c r="A197" s="4" t="s">
        <v>486</v>
      </c>
      <c r="B197" s="4" t="s">
        <v>490</v>
      </c>
      <c r="C197" s="4">
        <v>139</v>
      </c>
      <c r="D197" s="4">
        <v>139</v>
      </c>
      <c r="E197" s="4">
        <v>0</v>
      </c>
      <c r="F197" s="4">
        <v>0</v>
      </c>
      <c r="G197" s="4">
        <v>157</v>
      </c>
      <c r="H197" s="4">
        <v>169</v>
      </c>
      <c r="I197" s="5">
        <f t="shared" si="3"/>
        <v>604</v>
      </c>
      <c r="K197" s="4" t="s">
        <v>4</v>
      </c>
      <c r="L197" s="5">
        <f>SUM(F194:F201)</f>
        <v>763</v>
      </c>
      <c r="N197" s="9"/>
      <c r="O197" s="5"/>
    </row>
    <row r="198" spans="1:15" ht="15">
      <c r="A198" s="4" t="s">
        <v>486</v>
      </c>
      <c r="B198" s="4" t="s">
        <v>575</v>
      </c>
      <c r="C198" s="4">
        <v>169</v>
      </c>
      <c r="D198" s="4">
        <v>179</v>
      </c>
      <c r="E198" s="4">
        <v>188</v>
      </c>
      <c r="F198" s="4">
        <v>136</v>
      </c>
      <c r="G198" s="4">
        <v>168</v>
      </c>
      <c r="H198" s="4">
        <v>137</v>
      </c>
      <c r="I198" s="5">
        <f t="shared" si="3"/>
        <v>977</v>
      </c>
      <c r="K198" s="4" t="s">
        <v>5</v>
      </c>
      <c r="L198" s="5">
        <f>SUM(G194:G201)</f>
        <v>827</v>
      </c>
      <c r="N198" s="9"/>
      <c r="O198" s="5"/>
    </row>
    <row r="199" spans="1:15" ht="15">
      <c r="A199" s="4" t="s">
        <v>486</v>
      </c>
      <c r="B199" s="4" t="s">
        <v>491</v>
      </c>
      <c r="C199" s="4">
        <v>0</v>
      </c>
      <c r="D199" s="4">
        <v>0</v>
      </c>
      <c r="E199" s="4">
        <v>143</v>
      </c>
      <c r="F199" s="4">
        <v>0</v>
      </c>
      <c r="G199" s="4">
        <v>0</v>
      </c>
      <c r="H199" s="4">
        <v>155</v>
      </c>
      <c r="I199" s="5">
        <f t="shared" si="3"/>
        <v>298</v>
      </c>
      <c r="K199" s="4" t="s">
        <v>6</v>
      </c>
      <c r="L199" s="5">
        <f>SUM(H194:H201)</f>
        <v>769</v>
      </c>
      <c r="N199" s="9"/>
      <c r="O199" s="5"/>
    </row>
    <row r="200" spans="1:15" ht="15">
      <c r="A200" s="4" t="s">
        <v>486</v>
      </c>
      <c r="B200" s="4" t="s">
        <v>492</v>
      </c>
      <c r="C200" s="4">
        <v>134</v>
      </c>
      <c r="D200" s="4">
        <v>178</v>
      </c>
      <c r="E200" s="4">
        <v>159</v>
      </c>
      <c r="F200" s="4">
        <v>136</v>
      </c>
      <c r="G200" s="4">
        <v>0</v>
      </c>
      <c r="H200" s="4"/>
      <c r="I200" s="5">
        <f t="shared" si="3"/>
        <v>607</v>
      </c>
      <c r="K200" s="5"/>
      <c r="L200" s="5"/>
      <c r="N200" s="9"/>
      <c r="O200" s="5"/>
    </row>
    <row r="201" spans="1:15" ht="15">
      <c r="A201" s="9"/>
      <c r="B201" s="4"/>
      <c r="C201" s="4"/>
      <c r="D201" s="4"/>
      <c r="E201" s="4"/>
      <c r="F201" s="4"/>
      <c r="G201" s="4"/>
      <c r="H201" s="4"/>
      <c r="I201" s="5">
        <f t="shared" si="3"/>
        <v>0</v>
      </c>
      <c r="K201" s="4"/>
      <c r="L201" s="5"/>
      <c r="N201" s="9"/>
      <c r="O201" s="5"/>
    </row>
    <row r="202" spans="1:15" ht="15">
      <c r="A202" s="8" t="s">
        <v>493</v>
      </c>
      <c r="B202" s="8" t="s">
        <v>494</v>
      </c>
      <c r="C202" s="8">
        <v>161</v>
      </c>
      <c r="D202" s="8">
        <v>146</v>
      </c>
      <c r="E202" s="8">
        <v>178</v>
      </c>
      <c r="F202" s="8">
        <v>149</v>
      </c>
      <c r="G202" s="8">
        <v>157</v>
      </c>
      <c r="H202" s="8">
        <v>0</v>
      </c>
      <c r="I202" s="7">
        <f t="shared" si="3"/>
        <v>791</v>
      </c>
      <c r="K202" s="8" t="s">
        <v>0</v>
      </c>
      <c r="L202" s="7">
        <f>SUM(C202:C209)</f>
        <v>840</v>
      </c>
      <c r="N202" s="6" t="str">
        <f>A202</f>
        <v>Robert Morris Univ of Illinois-Springfield-Varsity</v>
      </c>
      <c r="O202" s="7">
        <f>SUM(L202:L207)</f>
        <v>5055</v>
      </c>
    </row>
    <row r="203" spans="1:15" ht="15">
      <c r="A203" s="8" t="s">
        <v>493</v>
      </c>
      <c r="B203" s="8" t="s">
        <v>495</v>
      </c>
      <c r="C203" s="8">
        <v>164</v>
      </c>
      <c r="D203" s="8">
        <v>167</v>
      </c>
      <c r="E203" s="8">
        <v>170</v>
      </c>
      <c r="F203" s="8">
        <v>189</v>
      </c>
      <c r="G203" s="8">
        <v>183</v>
      </c>
      <c r="H203" s="8">
        <v>125</v>
      </c>
      <c r="I203" s="7">
        <f t="shared" si="3"/>
        <v>998</v>
      </c>
      <c r="K203" s="8" t="s">
        <v>1</v>
      </c>
      <c r="L203" s="7">
        <f>SUM(D202:D209)</f>
        <v>820</v>
      </c>
      <c r="N203" s="6"/>
      <c r="O203" s="7"/>
    </row>
    <row r="204" spans="1:15" ht="15">
      <c r="A204" s="8" t="s">
        <v>493</v>
      </c>
      <c r="B204" s="8" t="s">
        <v>496</v>
      </c>
      <c r="C204" s="8">
        <v>180</v>
      </c>
      <c r="D204" s="8">
        <v>0</v>
      </c>
      <c r="E204" s="8">
        <v>0</v>
      </c>
      <c r="F204" s="8">
        <v>0</v>
      </c>
      <c r="G204" s="8">
        <v>0</v>
      </c>
      <c r="H204" s="8">
        <v>141</v>
      </c>
      <c r="I204" s="7">
        <f t="shared" si="3"/>
        <v>321</v>
      </c>
      <c r="K204" s="8" t="s">
        <v>2</v>
      </c>
      <c r="L204" s="7">
        <f>SUM(E202:E209)</f>
        <v>809</v>
      </c>
      <c r="N204" s="6"/>
      <c r="O204" s="7"/>
    </row>
    <row r="205" spans="1:15" ht="15">
      <c r="A205" s="8" t="s">
        <v>493</v>
      </c>
      <c r="B205" s="8" t="s">
        <v>497</v>
      </c>
      <c r="C205" s="8">
        <v>0</v>
      </c>
      <c r="D205" s="8">
        <v>184</v>
      </c>
      <c r="E205" s="8">
        <v>181</v>
      </c>
      <c r="F205" s="8">
        <v>177</v>
      </c>
      <c r="G205" s="8">
        <v>227</v>
      </c>
      <c r="H205" s="8">
        <v>172</v>
      </c>
      <c r="I205" s="7">
        <f t="shared" si="3"/>
        <v>941</v>
      </c>
      <c r="K205" s="8" t="s">
        <v>4</v>
      </c>
      <c r="L205" s="7">
        <f>SUM(F202:F209)</f>
        <v>861</v>
      </c>
      <c r="N205" s="6"/>
      <c r="O205" s="7"/>
    </row>
    <row r="206" spans="1:15" ht="15">
      <c r="A206" s="8" t="s">
        <v>493</v>
      </c>
      <c r="B206" s="8" t="s">
        <v>498</v>
      </c>
      <c r="C206" s="8">
        <v>171</v>
      </c>
      <c r="D206" s="8">
        <v>161</v>
      </c>
      <c r="E206" s="8">
        <v>161</v>
      </c>
      <c r="F206" s="8">
        <v>177</v>
      </c>
      <c r="G206" s="8">
        <v>188</v>
      </c>
      <c r="H206" s="8">
        <v>222</v>
      </c>
      <c r="I206" s="7">
        <f t="shared" si="3"/>
        <v>1080</v>
      </c>
      <c r="K206" s="8" t="s">
        <v>5</v>
      </c>
      <c r="L206" s="7">
        <f>SUM(G202:G209)</f>
        <v>907</v>
      </c>
      <c r="N206" s="6"/>
      <c r="O206" s="7"/>
    </row>
    <row r="207" spans="1:15" ht="15">
      <c r="A207" s="8" t="s">
        <v>493</v>
      </c>
      <c r="B207" s="8" t="s">
        <v>499</v>
      </c>
      <c r="C207" s="8">
        <v>164</v>
      </c>
      <c r="D207" s="8">
        <v>162</v>
      </c>
      <c r="E207" s="8">
        <v>119</v>
      </c>
      <c r="F207" s="8">
        <v>0</v>
      </c>
      <c r="G207" s="8">
        <v>0</v>
      </c>
      <c r="H207" s="8">
        <v>158</v>
      </c>
      <c r="I207" s="7">
        <f t="shared" si="3"/>
        <v>603</v>
      </c>
      <c r="K207" s="8" t="s">
        <v>6</v>
      </c>
      <c r="L207" s="7">
        <f>SUM(H202:H209)</f>
        <v>818</v>
      </c>
      <c r="N207" s="6"/>
      <c r="O207" s="7"/>
    </row>
    <row r="208" spans="1:15" ht="15">
      <c r="A208" s="8" t="s">
        <v>493</v>
      </c>
      <c r="B208" s="8" t="s">
        <v>500</v>
      </c>
      <c r="C208" s="8">
        <v>0</v>
      </c>
      <c r="D208" s="8">
        <v>0</v>
      </c>
      <c r="E208" s="8">
        <v>0</v>
      </c>
      <c r="F208" s="8">
        <v>169</v>
      </c>
      <c r="G208" s="8">
        <v>0</v>
      </c>
      <c r="H208" s="8">
        <v>0</v>
      </c>
      <c r="I208" s="7">
        <f t="shared" si="3"/>
        <v>169</v>
      </c>
      <c r="K208" s="8"/>
      <c r="L208" s="7"/>
      <c r="N208" s="6"/>
      <c r="O208" s="7"/>
    </row>
    <row r="209" spans="1:15" ht="15">
      <c r="A209" s="8" t="s">
        <v>493</v>
      </c>
      <c r="B209" s="8" t="s">
        <v>501</v>
      </c>
      <c r="C209" s="8">
        <v>0</v>
      </c>
      <c r="D209" s="8">
        <v>0</v>
      </c>
      <c r="E209" s="8">
        <v>0</v>
      </c>
      <c r="F209" s="8">
        <v>0</v>
      </c>
      <c r="G209" s="8">
        <v>152</v>
      </c>
      <c r="H209" s="8">
        <v>0</v>
      </c>
      <c r="I209" s="7">
        <f t="shared" si="3"/>
        <v>152</v>
      </c>
      <c r="K209" s="8"/>
      <c r="L209" s="7"/>
      <c r="N209" s="6"/>
      <c r="O209" s="7"/>
    </row>
    <row r="210" spans="1:15" ht="15">
      <c r="A210" s="4" t="s">
        <v>502</v>
      </c>
      <c r="B210" s="4" t="s">
        <v>503</v>
      </c>
      <c r="C210" s="4">
        <v>137</v>
      </c>
      <c r="D210" s="4">
        <v>169</v>
      </c>
      <c r="E210" s="4">
        <v>182</v>
      </c>
      <c r="F210" s="4">
        <v>159</v>
      </c>
      <c r="G210" s="4">
        <v>184</v>
      </c>
      <c r="H210" s="4">
        <v>166</v>
      </c>
      <c r="I210" s="5">
        <f t="shared" si="3"/>
        <v>997</v>
      </c>
      <c r="K210" s="4" t="s">
        <v>0</v>
      </c>
      <c r="L210" s="5">
        <f>SUM(C210:C217)</f>
        <v>815</v>
      </c>
      <c r="N210" s="9" t="str">
        <f>A210</f>
        <v>Spalding University-Varsity</v>
      </c>
      <c r="O210" s="5">
        <f>SUM(L210:L215)</f>
        <v>4604</v>
      </c>
    </row>
    <row r="211" spans="1:15" ht="15">
      <c r="A211" s="4" t="s">
        <v>502</v>
      </c>
      <c r="B211" s="4" t="s">
        <v>504</v>
      </c>
      <c r="C211" s="4">
        <v>176</v>
      </c>
      <c r="D211" s="4">
        <v>147</v>
      </c>
      <c r="E211" s="4">
        <v>152</v>
      </c>
      <c r="F211" s="4">
        <v>136</v>
      </c>
      <c r="G211" s="4">
        <v>169</v>
      </c>
      <c r="H211" s="4">
        <v>137</v>
      </c>
      <c r="I211" s="5">
        <f t="shared" si="3"/>
        <v>917</v>
      </c>
      <c r="K211" s="4" t="s">
        <v>1</v>
      </c>
      <c r="L211" s="5">
        <f>SUM(D210:D217)</f>
        <v>822</v>
      </c>
      <c r="N211" s="9"/>
      <c r="O211" s="5"/>
    </row>
    <row r="212" spans="1:15" ht="15">
      <c r="A212" s="4" t="s">
        <v>502</v>
      </c>
      <c r="B212" s="4" t="s">
        <v>505</v>
      </c>
      <c r="C212" s="4">
        <v>159</v>
      </c>
      <c r="D212" s="4">
        <v>130</v>
      </c>
      <c r="E212" s="4">
        <v>147</v>
      </c>
      <c r="F212" s="4">
        <v>116</v>
      </c>
      <c r="G212" s="4">
        <v>114</v>
      </c>
      <c r="H212" s="4">
        <v>146</v>
      </c>
      <c r="I212" s="5">
        <f t="shared" si="3"/>
        <v>812</v>
      </c>
      <c r="K212" s="4" t="s">
        <v>2</v>
      </c>
      <c r="L212" s="5">
        <f>SUM(E210:E217)</f>
        <v>738</v>
      </c>
      <c r="N212" s="9"/>
      <c r="O212" s="5"/>
    </row>
    <row r="213" spans="1:15" ht="15">
      <c r="A213" s="4" t="s">
        <v>502</v>
      </c>
      <c r="B213" s="4" t="s">
        <v>506</v>
      </c>
      <c r="C213" s="4">
        <v>202</v>
      </c>
      <c r="D213" s="4">
        <v>217</v>
      </c>
      <c r="E213" s="4">
        <v>113</v>
      </c>
      <c r="F213" s="4">
        <v>144</v>
      </c>
      <c r="G213" s="4">
        <v>161</v>
      </c>
      <c r="H213" s="4">
        <v>154</v>
      </c>
      <c r="I213" s="5">
        <f t="shared" si="3"/>
        <v>991</v>
      </c>
      <c r="K213" s="4" t="s">
        <v>4</v>
      </c>
      <c r="L213" s="5">
        <f>SUM(F210:F217)</f>
        <v>676</v>
      </c>
      <c r="N213" s="9"/>
      <c r="O213" s="5"/>
    </row>
    <row r="214" spans="1:15" ht="15">
      <c r="A214" s="4" t="s">
        <v>502</v>
      </c>
      <c r="B214" s="4" t="s">
        <v>507</v>
      </c>
      <c r="C214" s="4">
        <v>141</v>
      </c>
      <c r="D214" s="4">
        <v>159</v>
      </c>
      <c r="E214" s="4">
        <v>144</v>
      </c>
      <c r="F214" s="4">
        <v>121</v>
      </c>
      <c r="G214" s="4">
        <v>181</v>
      </c>
      <c r="H214" s="4">
        <v>141</v>
      </c>
      <c r="I214" s="5">
        <f t="shared" si="3"/>
        <v>887</v>
      </c>
      <c r="K214" s="4" t="s">
        <v>5</v>
      </c>
      <c r="L214" s="5">
        <f>SUM(G210:G217)</f>
        <v>809</v>
      </c>
      <c r="N214" s="9"/>
      <c r="O214" s="5"/>
    </row>
    <row r="215" spans="1:15" ht="15">
      <c r="A215" s="9"/>
      <c r="B215" s="4"/>
      <c r="C215" s="4"/>
      <c r="D215" s="4"/>
      <c r="E215" s="4"/>
      <c r="F215" s="4"/>
      <c r="G215" s="4"/>
      <c r="H215" s="4"/>
      <c r="I215" s="5">
        <f t="shared" si="3"/>
        <v>0</v>
      </c>
      <c r="K215" s="4" t="s">
        <v>6</v>
      </c>
      <c r="L215" s="5">
        <f>SUM(H210:H217)</f>
        <v>744</v>
      </c>
      <c r="N215" s="9"/>
      <c r="O215" s="5"/>
    </row>
    <row r="216" spans="1:15" ht="15">
      <c r="A216" s="9"/>
      <c r="B216" s="4"/>
      <c r="C216" s="4"/>
      <c r="D216" s="4"/>
      <c r="E216" s="4"/>
      <c r="F216" s="4"/>
      <c r="G216" s="4"/>
      <c r="H216" s="4"/>
      <c r="I216" s="5">
        <f t="shared" si="3"/>
        <v>0</v>
      </c>
      <c r="K216" s="5"/>
      <c r="L216" s="5"/>
      <c r="N216" s="9"/>
      <c r="O216" s="5"/>
    </row>
    <row r="217" spans="1:15" ht="15">
      <c r="A217" s="9"/>
      <c r="B217" s="4"/>
      <c r="C217" s="4"/>
      <c r="D217" s="4"/>
      <c r="E217" s="4"/>
      <c r="F217" s="4"/>
      <c r="G217" s="4"/>
      <c r="H217" s="4"/>
      <c r="I217" s="5">
        <f t="shared" si="3"/>
        <v>0</v>
      </c>
      <c r="K217" s="4"/>
      <c r="L217" s="5"/>
      <c r="N217" s="9"/>
      <c r="O217" s="5"/>
    </row>
    <row r="218" spans="1:15" ht="15">
      <c r="A218" s="8" t="s">
        <v>651</v>
      </c>
      <c r="B218" s="8" t="s">
        <v>508</v>
      </c>
      <c r="C218" s="8">
        <v>0</v>
      </c>
      <c r="D218" s="8">
        <v>176</v>
      </c>
      <c r="E218" s="8">
        <v>201</v>
      </c>
      <c r="F218" s="8">
        <v>134</v>
      </c>
      <c r="G218" s="8">
        <v>0</v>
      </c>
      <c r="H218" s="8">
        <v>0</v>
      </c>
      <c r="I218" s="7">
        <f t="shared" si="3"/>
        <v>511</v>
      </c>
      <c r="K218" s="8" t="s">
        <v>0</v>
      </c>
      <c r="L218" s="7">
        <f>SUM(C218:C225)</f>
        <v>975</v>
      </c>
      <c r="N218" s="6" t="str">
        <f>A218</f>
        <v>Saint Francis University-PA-Varsity</v>
      </c>
      <c r="O218" s="7">
        <f>SUM(L218:L223)</f>
        <v>5457</v>
      </c>
    </row>
    <row r="219" spans="1:15" ht="15">
      <c r="A219" s="8" t="s">
        <v>651</v>
      </c>
      <c r="B219" s="8" t="s">
        <v>509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7">
        <f t="shared" si="3"/>
        <v>0</v>
      </c>
      <c r="K219" s="8" t="s">
        <v>1</v>
      </c>
      <c r="L219" s="7">
        <f>SUM(D218:D225)</f>
        <v>955</v>
      </c>
      <c r="N219" s="6"/>
      <c r="O219" s="7"/>
    </row>
    <row r="220" spans="1:15" ht="15">
      <c r="A220" s="8" t="s">
        <v>651</v>
      </c>
      <c r="B220" s="8" t="s">
        <v>510</v>
      </c>
      <c r="C220" s="8">
        <v>204</v>
      </c>
      <c r="D220" s="8">
        <v>209</v>
      </c>
      <c r="E220" s="8">
        <v>165</v>
      </c>
      <c r="F220" s="8">
        <v>155</v>
      </c>
      <c r="G220" s="8">
        <v>178</v>
      </c>
      <c r="H220" s="8">
        <v>177</v>
      </c>
      <c r="I220" s="7">
        <f t="shared" si="3"/>
        <v>1088</v>
      </c>
      <c r="K220" s="8" t="s">
        <v>2</v>
      </c>
      <c r="L220" s="7">
        <f>SUM(E218:E225)</f>
        <v>879</v>
      </c>
      <c r="N220" s="6"/>
      <c r="O220" s="7"/>
    </row>
    <row r="221" spans="1:15" ht="15">
      <c r="A221" s="8" t="s">
        <v>651</v>
      </c>
      <c r="B221" s="8" t="s">
        <v>511</v>
      </c>
      <c r="C221" s="8">
        <v>232</v>
      </c>
      <c r="D221" s="8">
        <v>172</v>
      </c>
      <c r="E221" s="8">
        <v>162</v>
      </c>
      <c r="F221" s="8">
        <v>202</v>
      </c>
      <c r="G221" s="8">
        <v>203</v>
      </c>
      <c r="H221" s="8">
        <v>125</v>
      </c>
      <c r="I221" s="7">
        <f t="shared" si="3"/>
        <v>1096</v>
      </c>
      <c r="K221" s="8" t="s">
        <v>4</v>
      </c>
      <c r="L221" s="7">
        <f>SUM(F218:F225)</f>
        <v>886</v>
      </c>
      <c r="N221" s="6"/>
      <c r="O221" s="7"/>
    </row>
    <row r="222" spans="1:15" ht="15">
      <c r="A222" s="8" t="s">
        <v>651</v>
      </c>
      <c r="B222" s="8" t="s">
        <v>512</v>
      </c>
      <c r="C222" s="8">
        <v>219</v>
      </c>
      <c r="D222" s="8">
        <v>192</v>
      </c>
      <c r="E222" s="8">
        <v>162</v>
      </c>
      <c r="F222" s="8">
        <v>214</v>
      </c>
      <c r="G222" s="8">
        <v>191</v>
      </c>
      <c r="H222" s="8">
        <v>163</v>
      </c>
      <c r="I222" s="7">
        <f t="shared" si="3"/>
        <v>1141</v>
      </c>
      <c r="K222" s="8" t="s">
        <v>5</v>
      </c>
      <c r="L222" s="7">
        <f>SUM(G218:G225)</f>
        <v>923</v>
      </c>
      <c r="N222" s="6"/>
      <c r="O222" s="7"/>
    </row>
    <row r="223" spans="1:15" ht="15">
      <c r="A223" s="8" t="s">
        <v>651</v>
      </c>
      <c r="B223" s="8" t="s">
        <v>513</v>
      </c>
      <c r="C223" s="8">
        <v>145</v>
      </c>
      <c r="D223" s="8">
        <v>0</v>
      </c>
      <c r="E223" s="8">
        <v>0</v>
      </c>
      <c r="F223" s="8">
        <v>0</v>
      </c>
      <c r="G223" s="8">
        <v>180</v>
      </c>
      <c r="H223" s="8">
        <v>175</v>
      </c>
      <c r="I223" s="7">
        <f t="shared" si="3"/>
        <v>500</v>
      </c>
      <c r="K223" s="8" t="s">
        <v>6</v>
      </c>
      <c r="L223" s="7">
        <f>SUM(H218:H225)</f>
        <v>839</v>
      </c>
      <c r="N223" s="6"/>
      <c r="O223" s="7"/>
    </row>
    <row r="224" spans="1:15" ht="15">
      <c r="A224" s="8" t="s">
        <v>651</v>
      </c>
      <c r="B224" s="8" t="s">
        <v>514</v>
      </c>
      <c r="C224" s="8">
        <v>175</v>
      </c>
      <c r="D224" s="8">
        <v>206</v>
      </c>
      <c r="E224" s="8">
        <v>189</v>
      </c>
      <c r="F224" s="8">
        <v>181</v>
      </c>
      <c r="G224" s="8">
        <v>171</v>
      </c>
      <c r="H224" s="8">
        <v>199</v>
      </c>
      <c r="I224" s="7">
        <f t="shared" si="3"/>
        <v>1121</v>
      </c>
      <c r="K224" s="8"/>
      <c r="L224" s="7"/>
      <c r="N224" s="6"/>
      <c r="O224" s="7"/>
    </row>
    <row r="225" spans="1:15" ht="15">
      <c r="A225" s="8"/>
      <c r="B225" s="8"/>
      <c r="C225" s="8"/>
      <c r="D225" s="8"/>
      <c r="E225" s="8"/>
      <c r="F225" s="8"/>
      <c r="G225" s="8"/>
      <c r="H225" s="8"/>
      <c r="I225" s="7">
        <f t="shared" si="3"/>
        <v>0</v>
      </c>
      <c r="K225" s="8"/>
      <c r="L225" s="7"/>
      <c r="N225" s="6"/>
      <c r="O225" s="7"/>
    </row>
    <row r="226" spans="1:15" ht="15">
      <c r="A226" s="4" t="s">
        <v>652</v>
      </c>
      <c r="B226" s="4" t="s">
        <v>515</v>
      </c>
      <c r="C226" s="4">
        <v>114</v>
      </c>
      <c r="D226" s="4">
        <v>156</v>
      </c>
      <c r="E226" s="4">
        <v>175</v>
      </c>
      <c r="F226" s="4">
        <v>178</v>
      </c>
      <c r="G226" s="4">
        <v>153</v>
      </c>
      <c r="H226" s="4">
        <v>140</v>
      </c>
      <c r="I226" s="5">
        <f t="shared" si="3"/>
        <v>916</v>
      </c>
      <c r="K226" s="4" t="s">
        <v>0</v>
      </c>
      <c r="L226" s="5">
        <f>SUM(C226:C233)</f>
        <v>768</v>
      </c>
      <c r="N226" s="9" t="str">
        <f>A226</f>
        <v>Saint Francis University-PA-Junior Varsity</v>
      </c>
      <c r="O226" s="5">
        <f>SUM(L226:L231)</f>
        <v>4875</v>
      </c>
    </row>
    <row r="227" spans="1:15" ht="15">
      <c r="A227" s="4" t="s">
        <v>652</v>
      </c>
      <c r="B227" s="4" t="s">
        <v>516</v>
      </c>
      <c r="C227" s="4">
        <v>188</v>
      </c>
      <c r="D227" s="4">
        <v>137</v>
      </c>
      <c r="E227" s="4">
        <v>164</v>
      </c>
      <c r="F227" s="4">
        <v>212</v>
      </c>
      <c r="G227" s="4">
        <v>171</v>
      </c>
      <c r="H227" s="4">
        <v>173</v>
      </c>
      <c r="I227" s="5">
        <f t="shared" si="3"/>
        <v>1045</v>
      </c>
      <c r="K227" s="4" t="s">
        <v>1</v>
      </c>
      <c r="L227" s="5">
        <f>SUM(D226:D233)</f>
        <v>883</v>
      </c>
      <c r="N227" s="9"/>
      <c r="O227" s="5"/>
    </row>
    <row r="228" spans="1:15" ht="15">
      <c r="A228" s="4" t="s">
        <v>652</v>
      </c>
      <c r="B228" s="4" t="s">
        <v>517</v>
      </c>
      <c r="C228" s="4">
        <v>187</v>
      </c>
      <c r="D228" s="4">
        <v>205</v>
      </c>
      <c r="E228" s="4">
        <v>156</v>
      </c>
      <c r="F228" s="4">
        <v>134</v>
      </c>
      <c r="G228" s="4">
        <v>113</v>
      </c>
      <c r="H228" s="4">
        <v>130</v>
      </c>
      <c r="I228" s="5">
        <f t="shared" si="3"/>
        <v>925</v>
      </c>
      <c r="K228" s="4" t="s">
        <v>2</v>
      </c>
      <c r="L228" s="5">
        <f>SUM(E226:E233)</f>
        <v>852</v>
      </c>
      <c r="N228" s="9"/>
      <c r="O228" s="5"/>
    </row>
    <row r="229" spans="1:15" ht="15">
      <c r="A229" s="4" t="s">
        <v>652</v>
      </c>
      <c r="B229" s="4" t="s">
        <v>518</v>
      </c>
      <c r="C229" s="4">
        <v>124</v>
      </c>
      <c r="D229" s="4">
        <v>198</v>
      </c>
      <c r="E229" s="4">
        <v>155</v>
      </c>
      <c r="F229" s="4">
        <v>189</v>
      </c>
      <c r="G229" s="4">
        <v>151</v>
      </c>
      <c r="H229" s="4">
        <v>189</v>
      </c>
      <c r="I229" s="5">
        <f t="shared" si="3"/>
        <v>1006</v>
      </c>
      <c r="K229" s="4" t="s">
        <v>4</v>
      </c>
      <c r="L229" s="5">
        <f>SUM(F226:F233)</f>
        <v>881</v>
      </c>
      <c r="N229" s="9"/>
      <c r="O229" s="5"/>
    </row>
    <row r="230" spans="1:15" ht="15">
      <c r="A230" s="4" t="s">
        <v>652</v>
      </c>
      <c r="B230" s="4" t="s">
        <v>519</v>
      </c>
      <c r="C230" s="4">
        <v>155</v>
      </c>
      <c r="D230" s="4">
        <v>187</v>
      </c>
      <c r="E230" s="4">
        <v>202</v>
      </c>
      <c r="F230" s="4">
        <v>168</v>
      </c>
      <c r="G230" s="4">
        <v>147</v>
      </c>
      <c r="H230" s="4">
        <v>124</v>
      </c>
      <c r="I230" s="5">
        <f t="shared" si="3"/>
        <v>983</v>
      </c>
      <c r="K230" s="4" t="s">
        <v>5</v>
      </c>
      <c r="L230" s="5">
        <f>SUM(G226:G233)</f>
        <v>735</v>
      </c>
      <c r="N230" s="9"/>
      <c r="O230" s="5"/>
    </row>
    <row r="231" spans="1:15" ht="15">
      <c r="A231" s="9"/>
      <c r="B231" s="4"/>
      <c r="C231" s="4"/>
      <c r="D231" s="4"/>
      <c r="E231" s="4"/>
      <c r="F231" s="4"/>
      <c r="G231" s="4"/>
      <c r="H231" s="4"/>
      <c r="I231" s="5">
        <f t="shared" si="3"/>
        <v>0</v>
      </c>
      <c r="K231" s="4" t="s">
        <v>6</v>
      </c>
      <c r="L231" s="5">
        <f>SUM(H226:H233)</f>
        <v>756</v>
      </c>
      <c r="N231" s="9"/>
      <c r="O231" s="5"/>
    </row>
    <row r="232" spans="1:15" ht="15">
      <c r="A232" s="9"/>
      <c r="B232" s="4"/>
      <c r="C232" s="4"/>
      <c r="D232" s="4"/>
      <c r="E232" s="4"/>
      <c r="F232" s="4"/>
      <c r="G232" s="4"/>
      <c r="H232" s="4"/>
      <c r="I232" s="5">
        <f t="shared" si="3"/>
        <v>0</v>
      </c>
      <c r="K232" s="5"/>
      <c r="L232" s="5"/>
      <c r="N232" s="9"/>
      <c r="O232" s="5"/>
    </row>
    <row r="233" spans="1:15" ht="15">
      <c r="A233" s="9"/>
      <c r="B233" s="4"/>
      <c r="C233" s="4"/>
      <c r="D233" s="4"/>
      <c r="E233" s="4"/>
      <c r="F233" s="4"/>
      <c r="G233" s="4"/>
      <c r="H233" s="4"/>
      <c r="I233" s="5">
        <f t="shared" si="3"/>
        <v>0</v>
      </c>
      <c r="K233" s="4"/>
      <c r="L233" s="5"/>
      <c r="N233" s="9"/>
      <c r="O233" s="5"/>
    </row>
    <row r="234" spans="1:15" ht="15">
      <c r="A234" s="8" t="s">
        <v>221</v>
      </c>
      <c r="B234" s="8" t="s">
        <v>520</v>
      </c>
      <c r="C234" s="8">
        <v>0</v>
      </c>
      <c r="D234" s="8">
        <v>0</v>
      </c>
      <c r="E234" s="8">
        <v>157</v>
      </c>
      <c r="F234" s="8">
        <v>158</v>
      </c>
      <c r="G234" s="8">
        <v>165</v>
      </c>
      <c r="H234" s="8">
        <v>0</v>
      </c>
      <c r="I234" s="7">
        <f t="shared" si="3"/>
        <v>480</v>
      </c>
      <c r="K234" s="8" t="s">
        <v>0</v>
      </c>
      <c r="L234" s="7">
        <f>SUM(C234:C241)</f>
        <v>728</v>
      </c>
      <c r="N234" s="6" t="str">
        <f>A234</f>
        <v>St Ambrose University-Varsity</v>
      </c>
      <c r="O234" s="7">
        <f>SUM(L234:L239)</f>
        <v>4782</v>
      </c>
    </row>
    <row r="235" spans="1:15" ht="15">
      <c r="A235" s="8" t="s">
        <v>221</v>
      </c>
      <c r="B235" s="8" t="s">
        <v>521</v>
      </c>
      <c r="C235" s="8">
        <v>0</v>
      </c>
      <c r="D235" s="8">
        <v>154</v>
      </c>
      <c r="E235" s="8">
        <v>163</v>
      </c>
      <c r="F235" s="8">
        <v>136</v>
      </c>
      <c r="G235" s="8">
        <v>0</v>
      </c>
      <c r="H235" s="8">
        <v>0</v>
      </c>
      <c r="I235" s="7">
        <f t="shared" si="3"/>
        <v>453</v>
      </c>
      <c r="K235" s="8" t="s">
        <v>1</v>
      </c>
      <c r="L235" s="7">
        <f>SUM(D234:D241)</f>
        <v>794</v>
      </c>
      <c r="N235" s="6"/>
      <c r="O235" s="7"/>
    </row>
    <row r="236" spans="1:15" ht="15">
      <c r="A236" s="8" t="s">
        <v>221</v>
      </c>
      <c r="B236" s="8" t="s">
        <v>522</v>
      </c>
      <c r="C236" s="8">
        <v>165</v>
      </c>
      <c r="D236" s="8">
        <v>168</v>
      </c>
      <c r="E236" s="8">
        <v>178</v>
      </c>
      <c r="F236" s="8">
        <v>144</v>
      </c>
      <c r="G236" s="8">
        <v>152</v>
      </c>
      <c r="H236" s="8">
        <v>135</v>
      </c>
      <c r="I236" s="7">
        <f t="shared" si="3"/>
        <v>942</v>
      </c>
      <c r="K236" s="8" t="s">
        <v>2</v>
      </c>
      <c r="L236" s="7">
        <f>SUM(E234:E241)</f>
        <v>822</v>
      </c>
      <c r="N236" s="6"/>
      <c r="O236" s="7"/>
    </row>
    <row r="237" spans="1:15" ht="15">
      <c r="A237" s="8" t="s">
        <v>221</v>
      </c>
      <c r="B237" s="8" t="s">
        <v>636</v>
      </c>
      <c r="C237" s="8">
        <v>116</v>
      </c>
      <c r="D237" s="8">
        <v>111</v>
      </c>
      <c r="E237" s="8">
        <v>0</v>
      </c>
      <c r="F237" s="8">
        <v>0</v>
      </c>
      <c r="G237" s="8">
        <v>0</v>
      </c>
      <c r="H237" s="8">
        <v>225</v>
      </c>
      <c r="I237" s="7">
        <f t="shared" si="3"/>
        <v>452</v>
      </c>
      <c r="K237" s="8" t="s">
        <v>4</v>
      </c>
      <c r="L237" s="7">
        <f>SUM(F234:F241)</f>
        <v>758</v>
      </c>
      <c r="N237" s="6"/>
      <c r="O237" s="7"/>
    </row>
    <row r="238" spans="1:15" ht="15">
      <c r="A238" s="8" t="s">
        <v>221</v>
      </c>
      <c r="B238" s="8" t="s">
        <v>523</v>
      </c>
      <c r="C238" s="8">
        <v>0</v>
      </c>
      <c r="D238" s="8">
        <v>0</v>
      </c>
      <c r="E238" s="8">
        <v>0</v>
      </c>
      <c r="F238" s="8">
        <v>167</v>
      </c>
      <c r="G238" s="8">
        <v>189</v>
      </c>
      <c r="H238" s="8">
        <v>142</v>
      </c>
      <c r="I238" s="7">
        <f t="shared" si="3"/>
        <v>498</v>
      </c>
      <c r="K238" s="8" t="s">
        <v>5</v>
      </c>
      <c r="L238" s="7">
        <f>SUM(G234:G241)</f>
        <v>886</v>
      </c>
      <c r="N238" s="6"/>
      <c r="O238" s="7"/>
    </row>
    <row r="239" spans="1:15" ht="15">
      <c r="A239" s="8" t="s">
        <v>221</v>
      </c>
      <c r="B239" s="8" t="s">
        <v>637</v>
      </c>
      <c r="C239" s="8">
        <v>159</v>
      </c>
      <c r="D239" s="8">
        <v>191</v>
      </c>
      <c r="E239" s="8">
        <v>177</v>
      </c>
      <c r="F239" s="8">
        <v>153</v>
      </c>
      <c r="G239" s="8">
        <v>205</v>
      </c>
      <c r="H239" s="8">
        <v>163</v>
      </c>
      <c r="I239" s="7">
        <f t="shared" si="3"/>
        <v>1048</v>
      </c>
      <c r="K239" s="8" t="s">
        <v>6</v>
      </c>
      <c r="L239" s="7">
        <f>SUM(H234:H241)</f>
        <v>794</v>
      </c>
      <c r="N239" s="6"/>
      <c r="O239" s="7"/>
    </row>
    <row r="240" spans="1:15" ht="15">
      <c r="A240" s="8" t="s">
        <v>221</v>
      </c>
      <c r="B240" s="8" t="s">
        <v>524</v>
      </c>
      <c r="C240" s="8">
        <v>177</v>
      </c>
      <c r="D240" s="8">
        <v>170</v>
      </c>
      <c r="E240" s="8">
        <v>147</v>
      </c>
      <c r="F240" s="8">
        <v>0</v>
      </c>
      <c r="G240" s="8">
        <v>0</v>
      </c>
      <c r="H240" s="8">
        <v>129</v>
      </c>
      <c r="I240" s="7">
        <f t="shared" si="3"/>
        <v>623</v>
      </c>
      <c r="K240" s="8"/>
      <c r="L240" s="7"/>
      <c r="N240" s="6"/>
      <c r="O240" s="7"/>
    </row>
    <row r="241" spans="1:15" ht="15">
      <c r="A241" s="8" t="s">
        <v>221</v>
      </c>
      <c r="B241" s="8" t="s">
        <v>525</v>
      </c>
      <c r="C241" s="8">
        <v>111</v>
      </c>
      <c r="D241" s="8">
        <v>0</v>
      </c>
      <c r="E241" s="8">
        <v>0</v>
      </c>
      <c r="F241" s="8">
        <v>0</v>
      </c>
      <c r="G241" s="8">
        <v>175</v>
      </c>
      <c r="H241" s="8">
        <v>0</v>
      </c>
      <c r="I241" s="7">
        <f t="shared" si="3"/>
        <v>286</v>
      </c>
      <c r="K241" s="8"/>
      <c r="L241" s="7"/>
      <c r="N241" s="6"/>
      <c r="O241" s="7"/>
    </row>
    <row r="242" spans="1:15" ht="15">
      <c r="A242" s="4" t="s">
        <v>230</v>
      </c>
      <c r="B242" s="4" t="s">
        <v>526</v>
      </c>
      <c r="C242" s="4">
        <v>106</v>
      </c>
      <c r="D242" s="4">
        <v>138</v>
      </c>
      <c r="E242" s="4">
        <v>129</v>
      </c>
      <c r="F242" s="4">
        <v>156</v>
      </c>
      <c r="G242" s="4">
        <v>128</v>
      </c>
      <c r="H242" s="4">
        <v>135</v>
      </c>
      <c r="I242" s="5">
        <f t="shared" si="3"/>
        <v>792</v>
      </c>
      <c r="K242" s="4" t="s">
        <v>0</v>
      </c>
      <c r="L242" s="5">
        <f>SUM(C242:C249)</f>
        <v>751</v>
      </c>
      <c r="N242" s="9" t="str">
        <f>A242</f>
        <v>The Ohio State University-Varsity</v>
      </c>
      <c r="O242" s="5">
        <f>SUM(L242:L247)</f>
        <v>4511</v>
      </c>
    </row>
    <row r="243" spans="1:15" ht="15">
      <c r="A243" s="4" t="s">
        <v>230</v>
      </c>
      <c r="B243" s="4" t="s">
        <v>527</v>
      </c>
      <c r="C243" s="4">
        <v>201</v>
      </c>
      <c r="D243" s="4">
        <v>155</v>
      </c>
      <c r="E243" s="4">
        <v>144</v>
      </c>
      <c r="F243" s="4">
        <v>145</v>
      </c>
      <c r="G243" s="4">
        <v>120</v>
      </c>
      <c r="H243" s="4">
        <v>122</v>
      </c>
      <c r="I243" s="5">
        <f t="shared" si="3"/>
        <v>887</v>
      </c>
      <c r="K243" s="4" t="s">
        <v>1</v>
      </c>
      <c r="L243" s="5">
        <f>SUM(D242:D249)</f>
        <v>787</v>
      </c>
      <c r="N243" s="9"/>
      <c r="O243" s="5"/>
    </row>
    <row r="244" spans="1:15" ht="15">
      <c r="A244" s="4" t="s">
        <v>230</v>
      </c>
      <c r="B244" s="4" t="s">
        <v>528</v>
      </c>
      <c r="C244" s="4">
        <v>146</v>
      </c>
      <c r="D244" s="4">
        <v>159</v>
      </c>
      <c r="E244" s="4">
        <v>159</v>
      </c>
      <c r="F244" s="4">
        <v>154</v>
      </c>
      <c r="G244" s="4">
        <v>208</v>
      </c>
      <c r="H244" s="4">
        <v>165</v>
      </c>
      <c r="I244" s="5">
        <f t="shared" si="3"/>
        <v>991</v>
      </c>
      <c r="K244" s="4" t="s">
        <v>2</v>
      </c>
      <c r="L244" s="5">
        <f>SUM(E242:E249)</f>
        <v>718</v>
      </c>
      <c r="N244" s="9"/>
      <c r="O244" s="5"/>
    </row>
    <row r="245" spans="1:15" ht="15">
      <c r="A245" s="4" t="s">
        <v>230</v>
      </c>
      <c r="B245" s="4" t="s">
        <v>529</v>
      </c>
      <c r="C245" s="4">
        <v>121</v>
      </c>
      <c r="D245" s="4">
        <v>187</v>
      </c>
      <c r="E245" s="4">
        <v>120</v>
      </c>
      <c r="F245" s="4">
        <v>95</v>
      </c>
      <c r="G245" s="4">
        <v>110</v>
      </c>
      <c r="H245" s="4">
        <v>188</v>
      </c>
      <c r="I245" s="5">
        <f t="shared" si="3"/>
        <v>821</v>
      </c>
      <c r="K245" s="4" t="s">
        <v>4</v>
      </c>
      <c r="L245" s="5">
        <f>SUM(F242:F249)</f>
        <v>730</v>
      </c>
      <c r="N245" s="9"/>
      <c r="O245" s="5"/>
    </row>
    <row r="246" spans="1:15" ht="15">
      <c r="A246" s="4" t="s">
        <v>230</v>
      </c>
      <c r="B246" s="4" t="s">
        <v>530</v>
      </c>
      <c r="C246" s="4">
        <v>177</v>
      </c>
      <c r="D246" s="4">
        <v>148</v>
      </c>
      <c r="E246" s="4">
        <v>166</v>
      </c>
      <c r="F246" s="4">
        <v>180</v>
      </c>
      <c r="G246" s="4">
        <v>186</v>
      </c>
      <c r="H246" s="4">
        <v>163</v>
      </c>
      <c r="I246" s="5">
        <f t="shared" si="3"/>
        <v>1020</v>
      </c>
      <c r="K246" s="4" t="s">
        <v>5</v>
      </c>
      <c r="L246" s="5">
        <f>SUM(G242:G249)</f>
        <v>752</v>
      </c>
      <c r="N246" s="9"/>
      <c r="O246" s="5"/>
    </row>
    <row r="247" spans="1:15" ht="15">
      <c r="A247" s="4" t="s">
        <v>230</v>
      </c>
      <c r="B247" s="4" t="s">
        <v>531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5">
        <f t="shared" si="3"/>
        <v>0</v>
      </c>
      <c r="K247" s="4" t="s">
        <v>6</v>
      </c>
      <c r="L247" s="5">
        <f>SUM(H242:H249)</f>
        <v>773</v>
      </c>
      <c r="N247" s="9"/>
      <c r="O247" s="5"/>
    </row>
    <row r="248" spans="1:15" ht="15">
      <c r="A248" s="9"/>
      <c r="B248" s="4"/>
      <c r="C248" s="4"/>
      <c r="D248" s="4"/>
      <c r="E248" s="4"/>
      <c r="F248" s="4"/>
      <c r="G248" s="4"/>
      <c r="H248" s="4"/>
      <c r="I248" s="5">
        <f t="shared" si="3"/>
        <v>0</v>
      </c>
      <c r="K248" s="5"/>
      <c r="L248" s="5"/>
      <c r="N248" s="9"/>
      <c r="O248" s="5"/>
    </row>
    <row r="249" spans="1:15" ht="15">
      <c r="A249" s="9"/>
      <c r="B249" s="4"/>
      <c r="C249" s="4"/>
      <c r="D249" s="4"/>
      <c r="E249" s="4"/>
      <c r="F249" s="4"/>
      <c r="G249" s="4"/>
      <c r="H249" s="4"/>
      <c r="I249" s="5">
        <f t="shared" si="3"/>
        <v>0</v>
      </c>
      <c r="K249" s="4"/>
      <c r="L249" s="5"/>
      <c r="N249" s="9"/>
      <c r="O249" s="5"/>
    </row>
    <row r="250" spans="1:15" ht="15">
      <c r="A250" s="8" t="s">
        <v>532</v>
      </c>
      <c r="B250" s="8" t="s">
        <v>533</v>
      </c>
      <c r="C250" s="8">
        <v>197</v>
      </c>
      <c r="D250" s="8">
        <v>170</v>
      </c>
      <c r="E250" s="8">
        <v>128</v>
      </c>
      <c r="F250" s="8">
        <v>0</v>
      </c>
      <c r="G250" s="8">
        <v>0</v>
      </c>
      <c r="H250" s="8">
        <v>0</v>
      </c>
      <c r="I250" s="7">
        <f t="shared" si="3"/>
        <v>495</v>
      </c>
      <c r="K250" s="8" t="s">
        <v>0</v>
      </c>
      <c r="L250" s="7">
        <f>SUM(C250:C257)</f>
        <v>812</v>
      </c>
      <c r="N250" s="6" t="str">
        <f>A250</f>
        <v>University of Illinois Urbana-Varsity</v>
      </c>
      <c r="O250" s="7">
        <f>SUM(L250:L255)</f>
        <v>4481</v>
      </c>
    </row>
    <row r="251" spans="1:15" ht="15">
      <c r="A251" s="8" t="s">
        <v>532</v>
      </c>
      <c r="B251" s="8" t="s">
        <v>534</v>
      </c>
      <c r="C251" s="8">
        <v>162</v>
      </c>
      <c r="D251" s="8">
        <v>177</v>
      </c>
      <c r="E251" s="8">
        <v>168</v>
      </c>
      <c r="F251" s="8">
        <v>148</v>
      </c>
      <c r="G251" s="8">
        <v>142</v>
      </c>
      <c r="H251" s="8">
        <v>146</v>
      </c>
      <c r="I251" s="7">
        <f t="shared" si="3"/>
        <v>943</v>
      </c>
      <c r="K251" s="8" t="s">
        <v>1</v>
      </c>
      <c r="L251" s="7">
        <f>SUM(D250:D257)</f>
        <v>797</v>
      </c>
      <c r="N251" s="6"/>
      <c r="O251" s="7"/>
    </row>
    <row r="252" spans="1:15" ht="15">
      <c r="A252" s="8" t="s">
        <v>532</v>
      </c>
      <c r="B252" s="8" t="s">
        <v>535</v>
      </c>
      <c r="C252" s="8">
        <v>156</v>
      </c>
      <c r="D252" s="8">
        <v>152</v>
      </c>
      <c r="E252" s="8">
        <v>0</v>
      </c>
      <c r="F252" s="8">
        <v>130</v>
      </c>
      <c r="G252" s="8">
        <v>125</v>
      </c>
      <c r="H252" s="8">
        <v>144</v>
      </c>
      <c r="I252" s="7">
        <f t="shared" si="3"/>
        <v>707</v>
      </c>
      <c r="K252" s="8" t="s">
        <v>2</v>
      </c>
      <c r="L252" s="7">
        <f>SUM(E250:E257)</f>
        <v>753</v>
      </c>
      <c r="N252" s="6"/>
      <c r="O252" s="7"/>
    </row>
    <row r="253" spans="1:15" ht="15">
      <c r="A253" s="8" t="s">
        <v>532</v>
      </c>
      <c r="B253" s="8" t="s">
        <v>536</v>
      </c>
      <c r="C253" s="8">
        <v>139</v>
      </c>
      <c r="D253" s="8">
        <v>123</v>
      </c>
      <c r="E253" s="8">
        <v>172</v>
      </c>
      <c r="F253" s="8">
        <v>160</v>
      </c>
      <c r="G253" s="8">
        <v>145</v>
      </c>
      <c r="H253" s="8">
        <v>127</v>
      </c>
      <c r="I253" s="7">
        <f t="shared" si="3"/>
        <v>866</v>
      </c>
      <c r="K253" s="8" t="s">
        <v>4</v>
      </c>
      <c r="L253" s="7">
        <f>SUM(F250:F257)</f>
        <v>647</v>
      </c>
      <c r="N253" s="6"/>
      <c r="O253" s="7"/>
    </row>
    <row r="254" spans="1:15" ht="15">
      <c r="A254" s="8" t="s">
        <v>532</v>
      </c>
      <c r="B254" s="8" t="s">
        <v>537</v>
      </c>
      <c r="C254" s="8">
        <v>158</v>
      </c>
      <c r="D254" s="8">
        <v>175</v>
      </c>
      <c r="E254" s="8">
        <v>171</v>
      </c>
      <c r="F254" s="8">
        <v>114</v>
      </c>
      <c r="G254" s="8">
        <v>194</v>
      </c>
      <c r="H254" s="8">
        <v>174</v>
      </c>
      <c r="I254" s="7">
        <f t="shared" si="3"/>
        <v>986</v>
      </c>
      <c r="K254" s="8" t="s">
        <v>5</v>
      </c>
      <c r="L254" s="7">
        <f>SUM(G250:G257)</f>
        <v>758</v>
      </c>
      <c r="N254" s="6"/>
      <c r="O254" s="7"/>
    </row>
    <row r="255" spans="1:15" ht="15">
      <c r="A255" s="8" t="s">
        <v>532</v>
      </c>
      <c r="B255" s="8" t="s">
        <v>538</v>
      </c>
      <c r="C255" s="8">
        <v>0</v>
      </c>
      <c r="D255" s="8">
        <v>0</v>
      </c>
      <c r="E255" s="8">
        <v>114</v>
      </c>
      <c r="F255" s="8">
        <v>95</v>
      </c>
      <c r="G255" s="8">
        <v>152</v>
      </c>
      <c r="H255" s="8">
        <v>123</v>
      </c>
      <c r="I255" s="7">
        <f t="shared" si="3"/>
        <v>484</v>
      </c>
      <c r="K255" s="8" t="s">
        <v>6</v>
      </c>
      <c r="L255" s="7">
        <f>SUM(H250:H257)</f>
        <v>714</v>
      </c>
      <c r="N255" s="6"/>
      <c r="O255" s="7"/>
    </row>
    <row r="256" spans="1:15" ht="15">
      <c r="A256" s="8" t="s">
        <v>532</v>
      </c>
      <c r="B256" s="8" t="s">
        <v>539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7">
        <f t="shared" si="3"/>
        <v>0</v>
      </c>
      <c r="K256" s="8"/>
      <c r="L256" s="7"/>
      <c r="N256" s="6"/>
      <c r="O256" s="7"/>
    </row>
    <row r="257" spans="1:15" ht="15">
      <c r="A257" s="8"/>
      <c r="B257" s="8"/>
      <c r="C257" s="8"/>
      <c r="D257" s="8"/>
      <c r="E257" s="8"/>
      <c r="F257" s="8"/>
      <c r="G257" s="8"/>
      <c r="H257" s="8"/>
      <c r="I257" s="7">
        <f t="shared" si="3"/>
        <v>0</v>
      </c>
      <c r="K257" s="8"/>
      <c r="L257" s="7"/>
      <c r="N257" s="6"/>
      <c r="O257" s="7"/>
    </row>
    <row r="258" spans="1:15" ht="15">
      <c r="A258" s="4" t="s">
        <v>649</v>
      </c>
      <c r="B258" s="4" t="s">
        <v>540</v>
      </c>
      <c r="C258" s="4">
        <v>185</v>
      </c>
      <c r="D258" s="4">
        <v>181</v>
      </c>
      <c r="E258" s="4">
        <v>132</v>
      </c>
      <c r="F258" s="4">
        <v>184</v>
      </c>
      <c r="G258" s="4">
        <v>149</v>
      </c>
      <c r="H258" s="4">
        <v>157</v>
      </c>
      <c r="I258" s="5">
        <f aca="true" t="shared" si="4" ref="I258:I321">SUM(C258:H258)</f>
        <v>988</v>
      </c>
      <c r="K258" s="4" t="s">
        <v>0</v>
      </c>
      <c r="L258" s="5">
        <f>SUM(C258:C265)</f>
        <v>940</v>
      </c>
      <c r="N258" s="9" t="str">
        <f>A258</f>
        <v>University of St Francis-IL-Varsity</v>
      </c>
      <c r="O258" s="5">
        <f>SUM(L258:L263)</f>
        <v>5064</v>
      </c>
    </row>
    <row r="259" spans="1:15" ht="15">
      <c r="A259" s="4" t="s">
        <v>649</v>
      </c>
      <c r="B259" s="4" t="s">
        <v>541</v>
      </c>
      <c r="C259" s="4">
        <v>169</v>
      </c>
      <c r="D259" s="4">
        <v>195</v>
      </c>
      <c r="E259" s="4">
        <v>156</v>
      </c>
      <c r="F259" s="4">
        <v>172</v>
      </c>
      <c r="G259" s="4">
        <v>123</v>
      </c>
      <c r="H259" s="4">
        <v>169</v>
      </c>
      <c r="I259" s="5">
        <f t="shared" si="4"/>
        <v>984</v>
      </c>
      <c r="K259" s="4" t="s">
        <v>1</v>
      </c>
      <c r="L259" s="5">
        <f>SUM(D258:D265)</f>
        <v>879</v>
      </c>
      <c r="N259" s="9"/>
      <c r="O259" s="5"/>
    </row>
    <row r="260" spans="1:15" ht="15">
      <c r="A260" s="4" t="s">
        <v>649</v>
      </c>
      <c r="B260" s="4" t="s">
        <v>638</v>
      </c>
      <c r="C260" s="4">
        <v>192</v>
      </c>
      <c r="D260" s="4">
        <v>179</v>
      </c>
      <c r="E260" s="4">
        <v>182</v>
      </c>
      <c r="F260" s="4">
        <v>169</v>
      </c>
      <c r="G260" s="4">
        <v>168</v>
      </c>
      <c r="H260" s="4">
        <v>189</v>
      </c>
      <c r="I260" s="5">
        <f t="shared" si="4"/>
        <v>1079</v>
      </c>
      <c r="K260" s="4" t="s">
        <v>2</v>
      </c>
      <c r="L260" s="5">
        <f>SUM(E258:E265)</f>
        <v>776</v>
      </c>
      <c r="N260" s="9"/>
      <c r="O260" s="5"/>
    </row>
    <row r="261" spans="1:15" ht="15">
      <c r="A261" s="4" t="s">
        <v>649</v>
      </c>
      <c r="B261" s="4" t="s">
        <v>542</v>
      </c>
      <c r="C261" s="4">
        <v>242</v>
      </c>
      <c r="D261" s="4">
        <v>154</v>
      </c>
      <c r="E261" s="4">
        <v>179</v>
      </c>
      <c r="F261" s="4">
        <v>170</v>
      </c>
      <c r="G261" s="4">
        <v>134</v>
      </c>
      <c r="H261" s="4">
        <v>174</v>
      </c>
      <c r="I261" s="5">
        <f t="shared" si="4"/>
        <v>1053</v>
      </c>
      <c r="K261" s="4" t="s">
        <v>4</v>
      </c>
      <c r="L261" s="5">
        <f>SUM(F258:F265)</f>
        <v>865</v>
      </c>
      <c r="N261" s="9"/>
      <c r="O261" s="5"/>
    </row>
    <row r="262" spans="1:15" ht="15">
      <c r="A262" s="4" t="s">
        <v>649</v>
      </c>
      <c r="B262" s="4" t="s">
        <v>639</v>
      </c>
      <c r="C262" s="4">
        <v>152</v>
      </c>
      <c r="D262" s="4">
        <v>170</v>
      </c>
      <c r="E262" s="4">
        <v>127</v>
      </c>
      <c r="F262" s="4">
        <v>170</v>
      </c>
      <c r="G262" s="4">
        <v>190</v>
      </c>
      <c r="H262" s="4">
        <v>151</v>
      </c>
      <c r="I262" s="5">
        <f t="shared" si="4"/>
        <v>960</v>
      </c>
      <c r="K262" s="4" t="s">
        <v>5</v>
      </c>
      <c r="L262" s="5">
        <f>SUM(G258:G265)</f>
        <v>764</v>
      </c>
      <c r="N262" s="9"/>
      <c r="O262" s="5"/>
    </row>
    <row r="263" spans="1:15" ht="15">
      <c r="A263" s="4" t="s">
        <v>649</v>
      </c>
      <c r="B263" s="4" t="s">
        <v>543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5">
        <f t="shared" si="4"/>
        <v>0</v>
      </c>
      <c r="K263" s="4" t="s">
        <v>6</v>
      </c>
      <c r="L263" s="5">
        <f>SUM(H258:H265)</f>
        <v>840</v>
      </c>
      <c r="N263" s="9"/>
      <c r="O263" s="5"/>
    </row>
    <row r="264" spans="1:15" ht="15">
      <c r="A264" s="9"/>
      <c r="B264" s="4"/>
      <c r="C264" s="4"/>
      <c r="D264" s="4"/>
      <c r="E264" s="4"/>
      <c r="F264" s="4"/>
      <c r="G264" s="4"/>
      <c r="H264" s="4"/>
      <c r="I264" s="5">
        <f t="shared" si="4"/>
        <v>0</v>
      </c>
      <c r="K264" s="5"/>
      <c r="L264" s="5"/>
      <c r="N264" s="9"/>
      <c r="O264" s="5"/>
    </row>
    <row r="265" spans="1:15" ht="15">
      <c r="A265" s="9"/>
      <c r="B265" s="4"/>
      <c r="C265" s="4"/>
      <c r="D265" s="4"/>
      <c r="E265" s="4"/>
      <c r="F265" s="4"/>
      <c r="G265" s="4"/>
      <c r="H265" s="4"/>
      <c r="I265" s="5">
        <f t="shared" si="4"/>
        <v>0</v>
      </c>
      <c r="K265" s="4"/>
      <c r="L265" s="5"/>
      <c r="N265" s="9"/>
      <c r="O265" s="5"/>
    </row>
    <row r="266" spans="1:15" ht="15">
      <c r="A266" s="8" t="s">
        <v>650</v>
      </c>
      <c r="B266" s="8" t="s">
        <v>544</v>
      </c>
      <c r="C266" s="8">
        <v>0</v>
      </c>
      <c r="D266" s="8">
        <v>0</v>
      </c>
      <c r="E266" s="8">
        <v>0</v>
      </c>
      <c r="F266" s="8">
        <v>108</v>
      </c>
      <c r="G266" s="8">
        <v>104</v>
      </c>
      <c r="H266" s="8">
        <v>0</v>
      </c>
      <c r="I266" s="7">
        <f t="shared" si="4"/>
        <v>212</v>
      </c>
      <c r="K266" s="8" t="s">
        <v>0</v>
      </c>
      <c r="L266" s="7">
        <f>SUM(C266:C273)</f>
        <v>763</v>
      </c>
      <c r="N266" s="6" t="str">
        <f>A266</f>
        <v>University of St Francis-IL-Junior Varsity</v>
      </c>
      <c r="O266" s="7">
        <f>SUM(L266:L271)</f>
        <v>4577</v>
      </c>
    </row>
    <row r="267" spans="1:15" ht="15">
      <c r="A267" s="8" t="s">
        <v>650</v>
      </c>
      <c r="B267" s="8" t="s">
        <v>545</v>
      </c>
      <c r="C267" s="8">
        <v>191</v>
      </c>
      <c r="D267" s="8">
        <v>201</v>
      </c>
      <c r="E267" s="8">
        <v>176</v>
      </c>
      <c r="F267" s="8">
        <v>176</v>
      </c>
      <c r="G267" s="8">
        <v>186</v>
      </c>
      <c r="H267" s="8">
        <v>157</v>
      </c>
      <c r="I267" s="7">
        <f t="shared" si="4"/>
        <v>1087</v>
      </c>
      <c r="K267" s="8" t="s">
        <v>1</v>
      </c>
      <c r="L267" s="7">
        <f>SUM(D266:D273)</f>
        <v>772</v>
      </c>
      <c r="N267" s="6"/>
      <c r="O267" s="7"/>
    </row>
    <row r="268" spans="1:15" ht="15">
      <c r="A268" s="8" t="s">
        <v>650</v>
      </c>
      <c r="B268" s="8" t="s">
        <v>546</v>
      </c>
      <c r="C268" s="8">
        <v>0</v>
      </c>
      <c r="D268" s="8">
        <v>0</v>
      </c>
      <c r="E268" s="8">
        <v>138</v>
      </c>
      <c r="F268" s="8">
        <v>164</v>
      </c>
      <c r="G268" s="8">
        <v>146</v>
      </c>
      <c r="H268" s="8">
        <v>149</v>
      </c>
      <c r="I268" s="7">
        <f t="shared" si="4"/>
        <v>597</v>
      </c>
      <c r="K268" s="8" t="s">
        <v>2</v>
      </c>
      <c r="L268" s="7">
        <f>SUM(E266:E273)</f>
        <v>787</v>
      </c>
      <c r="N268" s="6"/>
      <c r="O268" s="7"/>
    </row>
    <row r="269" spans="1:15" ht="15">
      <c r="A269" s="8" t="s">
        <v>650</v>
      </c>
      <c r="B269" s="8" t="s">
        <v>547</v>
      </c>
      <c r="C269" s="8">
        <v>138</v>
      </c>
      <c r="D269" s="8">
        <v>113</v>
      </c>
      <c r="E269" s="8">
        <v>163</v>
      </c>
      <c r="F269" s="8">
        <v>0</v>
      </c>
      <c r="G269" s="8">
        <v>0</v>
      </c>
      <c r="H269" s="8">
        <v>0</v>
      </c>
      <c r="I269" s="7">
        <f t="shared" si="4"/>
        <v>414</v>
      </c>
      <c r="K269" s="8" t="s">
        <v>4</v>
      </c>
      <c r="L269" s="7">
        <f>SUM(F266:F273)</f>
        <v>763</v>
      </c>
      <c r="N269" s="6"/>
      <c r="O269" s="7"/>
    </row>
    <row r="270" spans="1:15" ht="15">
      <c r="A270" s="8" t="s">
        <v>650</v>
      </c>
      <c r="B270" s="8" t="s">
        <v>548</v>
      </c>
      <c r="C270" s="8">
        <v>0</v>
      </c>
      <c r="D270" s="8">
        <v>0</v>
      </c>
      <c r="E270" s="8">
        <v>0</v>
      </c>
      <c r="F270" s="8">
        <v>134</v>
      </c>
      <c r="G270" s="8">
        <v>158</v>
      </c>
      <c r="H270" s="8">
        <v>112</v>
      </c>
      <c r="I270" s="7">
        <f t="shared" si="4"/>
        <v>404</v>
      </c>
      <c r="K270" s="8" t="s">
        <v>5</v>
      </c>
      <c r="L270" s="7">
        <f>SUM(G266:G273)</f>
        <v>749</v>
      </c>
      <c r="N270" s="6"/>
      <c r="O270" s="7"/>
    </row>
    <row r="271" spans="1:15" ht="15">
      <c r="A271" s="8" t="s">
        <v>650</v>
      </c>
      <c r="B271" s="8" t="s">
        <v>549</v>
      </c>
      <c r="C271" s="8">
        <v>129</v>
      </c>
      <c r="D271" s="8">
        <v>170</v>
      </c>
      <c r="E271" s="8">
        <v>124</v>
      </c>
      <c r="F271" s="8">
        <v>0</v>
      </c>
      <c r="G271" s="8">
        <v>0</v>
      </c>
      <c r="H271" s="8">
        <v>0</v>
      </c>
      <c r="I271" s="7">
        <f t="shared" si="4"/>
        <v>423</v>
      </c>
      <c r="K271" s="8" t="s">
        <v>6</v>
      </c>
      <c r="L271" s="7">
        <f>SUM(H266:H273)</f>
        <v>743</v>
      </c>
      <c r="N271" s="6"/>
      <c r="O271" s="7"/>
    </row>
    <row r="272" spans="1:15" ht="15">
      <c r="A272" s="8" t="s">
        <v>650</v>
      </c>
      <c r="B272" s="8" t="s">
        <v>640</v>
      </c>
      <c r="C272" s="8">
        <v>157</v>
      </c>
      <c r="D272" s="8">
        <v>149</v>
      </c>
      <c r="E272" s="8">
        <v>186</v>
      </c>
      <c r="F272" s="8">
        <v>181</v>
      </c>
      <c r="G272" s="8">
        <v>155</v>
      </c>
      <c r="H272" s="8">
        <v>191</v>
      </c>
      <c r="I272" s="7">
        <f t="shared" si="4"/>
        <v>1019</v>
      </c>
      <c r="K272" s="8"/>
      <c r="L272" s="7"/>
      <c r="N272" s="6"/>
      <c r="O272" s="7"/>
    </row>
    <row r="273" spans="1:15" ht="15">
      <c r="A273" s="8" t="s">
        <v>650</v>
      </c>
      <c r="B273" s="8" t="s">
        <v>550</v>
      </c>
      <c r="C273" s="8">
        <v>148</v>
      </c>
      <c r="D273" s="8">
        <v>139</v>
      </c>
      <c r="E273" s="8">
        <v>0</v>
      </c>
      <c r="F273" s="8">
        <v>0</v>
      </c>
      <c r="G273" s="8">
        <v>0</v>
      </c>
      <c r="H273" s="8">
        <v>134</v>
      </c>
      <c r="I273" s="7">
        <f t="shared" si="4"/>
        <v>421</v>
      </c>
      <c r="K273" s="8"/>
      <c r="L273" s="7"/>
      <c r="N273" s="6"/>
      <c r="O273" s="7"/>
    </row>
    <row r="274" spans="1:15" ht="15">
      <c r="A274" s="4" t="s">
        <v>316</v>
      </c>
      <c r="B274" s="4" t="s">
        <v>551</v>
      </c>
      <c r="C274" s="4">
        <v>191</v>
      </c>
      <c r="D274" s="4">
        <v>156</v>
      </c>
      <c r="E274" s="4">
        <v>153</v>
      </c>
      <c r="F274" s="4">
        <v>147</v>
      </c>
      <c r="G274" s="4">
        <v>132</v>
      </c>
      <c r="H274" s="4">
        <v>0</v>
      </c>
      <c r="I274" s="5">
        <f t="shared" si="4"/>
        <v>779</v>
      </c>
      <c r="K274" s="4" t="s">
        <v>0</v>
      </c>
      <c r="L274" s="5">
        <f>SUM(C274:C281)</f>
        <v>902</v>
      </c>
      <c r="N274" s="9" t="str">
        <f>A274</f>
        <v>William Penn University-Varsity</v>
      </c>
      <c r="O274" s="5">
        <f>SUM(L274:L279)</f>
        <v>4932</v>
      </c>
    </row>
    <row r="275" spans="1:15" ht="15">
      <c r="A275" s="4" t="s">
        <v>316</v>
      </c>
      <c r="B275" s="4" t="s">
        <v>552</v>
      </c>
      <c r="C275" s="4">
        <v>163</v>
      </c>
      <c r="D275" s="4">
        <v>149</v>
      </c>
      <c r="E275" s="4">
        <v>166</v>
      </c>
      <c r="F275" s="4">
        <v>129</v>
      </c>
      <c r="G275" s="4">
        <v>158</v>
      </c>
      <c r="H275" s="4">
        <v>168</v>
      </c>
      <c r="I275" s="5">
        <f t="shared" si="4"/>
        <v>933</v>
      </c>
      <c r="K275" s="4" t="s">
        <v>1</v>
      </c>
      <c r="L275" s="5">
        <f>SUM(D274:D281)</f>
        <v>746</v>
      </c>
      <c r="N275" s="9"/>
      <c r="O275" s="5"/>
    </row>
    <row r="276" spans="1:15" ht="15">
      <c r="A276" s="4" t="s">
        <v>316</v>
      </c>
      <c r="B276" s="4" t="s">
        <v>553</v>
      </c>
      <c r="C276" s="4">
        <v>119</v>
      </c>
      <c r="D276" s="4">
        <v>102</v>
      </c>
      <c r="E276" s="4">
        <v>0</v>
      </c>
      <c r="F276" s="4">
        <v>0</v>
      </c>
      <c r="G276" s="4">
        <v>0</v>
      </c>
      <c r="H276" s="4">
        <v>171</v>
      </c>
      <c r="I276" s="5">
        <f t="shared" si="4"/>
        <v>392</v>
      </c>
      <c r="K276" s="4" t="s">
        <v>2</v>
      </c>
      <c r="L276" s="5">
        <f>SUM(E274:E281)</f>
        <v>826</v>
      </c>
      <c r="N276" s="9"/>
      <c r="O276" s="5"/>
    </row>
    <row r="277" spans="1:15" ht="15">
      <c r="A277" s="4" t="s">
        <v>316</v>
      </c>
      <c r="B277" s="4" t="s">
        <v>554</v>
      </c>
      <c r="C277" s="4">
        <v>194</v>
      </c>
      <c r="D277" s="4">
        <v>181</v>
      </c>
      <c r="E277" s="4">
        <v>168</v>
      </c>
      <c r="F277" s="4">
        <v>214</v>
      </c>
      <c r="G277" s="4">
        <v>171</v>
      </c>
      <c r="H277" s="4">
        <v>176</v>
      </c>
      <c r="I277" s="5">
        <f t="shared" si="4"/>
        <v>1104</v>
      </c>
      <c r="K277" s="4" t="s">
        <v>4</v>
      </c>
      <c r="L277" s="5">
        <f>SUM(F274:F281)</f>
        <v>833</v>
      </c>
      <c r="N277" s="9"/>
      <c r="O277" s="5"/>
    </row>
    <row r="278" spans="1:15" ht="15">
      <c r="A278" s="4" t="s">
        <v>316</v>
      </c>
      <c r="B278" s="4" t="s">
        <v>555</v>
      </c>
      <c r="C278" s="4">
        <v>235</v>
      </c>
      <c r="D278" s="4">
        <v>158</v>
      </c>
      <c r="E278" s="4">
        <v>191</v>
      </c>
      <c r="F278" s="4">
        <v>180</v>
      </c>
      <c r="G278" s="4">
        <v>208</v>
      </c>
      <c r="H278" s="4">
        <v>171</v>
      </c>
      <c r="I278" s="5">
        <f t="shared" si="4"/>
        <v>1143</v>
      </c>
      <c r="K278" s="4" t="s">
        <v>5</v>
      </c>
      <c r="L278" s="5">
        <f>SUM(G274:G281)</f>
        <v>815</v>
      </c>
      <c r="N278" s="9"/>
      <c r="O278" s="5"/>
    </row>
    <row r="279" spans="1:15" ht="15">
      <c r="A279" s="4" t="s">
        <v>316</v>
      </c>
      <c r="B279" s="4" t="s">
        <v>556</v>
      </c>
      <c r="C279" s="4">
        <v>0</v>
      </c>
      <c r="D279" s="4">
        <v>0</v>
      </c>
      <c r="E279" s="4">
        <v>148</v>
      </c>
      <c r="F279" s="4">
        <v>163</v>
      </c>
      <c r="G279" s="4">
        <v>146</v>
      </c>
      <c r="H279" s="4">
        <v>0</v>
      </c>
      <c r="I279" s="5">
        <f t="shared" si="4"/>
        <v>457</v>
      </c>
      <c r="K279" s="4" t="s">
        <v>6</v>
      </c>
      <c r="L279" s="5">
        <f>SUM(H274:H281)</f>
        <v>810</v>
      </c>
      <c r="N279" s="9"/>
      <c r="O279" s="5"/>
    </row>
    <row r="280" spans="1:15" ht="15">
      <c r="A280" s="4" t="s">
        <v>316</v>
      </c>
      <c r="B280" s="4" t="s">
        <v>557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124</v>
      </c>
      <c r="I280" s="5">
        <f t="shared" si="4"/>
        <v>124</v>
      </c>
      <c r="K280" s="5"/>
      <c r="L280" s="5"/>
      <c r="N280" s="9"/>
      <c r="O280" s="5"/>
    </row>
    <row r="281" spans="1:15" ht="15">
      <c r="A281" s="4" t="s">
        <v>316</v>
      </c>
      <c r="B281" s="4" t="s">
        <v>558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5">
        <f t="shared" si="4"/>
        <v>0</v>
      </c>
      <c r="K281" s="4"/>
      <c r="L281" s="5"/>
      <c r="N281" s="9"/>
      <c r="O281" s="5"/>
    </row>
    <row r="282" spans="1:15" ht="15">
      <c r="A282" s="8" t="s">
        <v>631</v>
      </c>
      <c r="B282" s="8" t="s">
        <v>641</v>
      </c>
      <c r="C282" s="8">
        <v>155</v>
      </c>
      <c r="D282" s="8">
        <v>166</v>
      </c>
      <c r="E282" s="8">
        <v>112</v>
      </c>
      <c r="F282" s="8">
        <v>159</v>
      </c>
      <c r="G282" s="8">
        <v>135</v>
      </c>
      <c r="H282" s="8">
        <v>151</v>
      </c>
      <c r="I282" s="7">
        <f t="shared" si="4"/>
        <v>878</v>
      </c>
      <c r="K282" s="8" t="s">
        <v>0</v>
      </c>
      <c r="L282" s="7">
        <f>SUM(C282:C289)</f>
        <v>652</v>
      </c>
      <c r="N282" s="6" t="str">
        <f>A282</f>
        <v>Northern Kentucky University</v>
      </c>
      <c r="O282" s="7">
        <f>SUM(L282:L287)</f>
        <v>3920</v>
      </c>
    </row>
    <row r="283" spans="1:15" ht="15">
      <c r="A283" s="8" t="s">
        <v>631</v>
      </c>
      <c r="B283" s="8" t="s">
        <v>642</v>
      </c>
      <c r="C283" s="8">
        <v>120</v>
      </c>
      <c r="D283" s="8">
        <v>152</v>
      </c>
      <c r="E283" s="8">
        <v>130</v>
      </c>
      <c r="F283" s="8">
        <v>96</v>
      </c>
      <c r="G283" s="8">
        <v>117</v>
      </c>
      <c r="H283" s="8">
        <v>89</v>
      </c>
      <c r="I283" s="7">
        <f t="shared" si="4"/>
        <v>704</v>
      </c>
      <c r="K283" s="8" t="s">
        <v>1</v>
      </c>
      <c r="L283" s="7">
        <f>SUM(D282:D289)</f>
        <v>719</v>
      </c>
      <c r="N283" s="6"/>
      <c r="O283" s="7"/>
    </row>
    <row r="284" spans="1:15" ht="15">
      <c r="A284" s="8" t="s">
        <v>631</v>
      </c>
      <c r="B284" s="8" t="s">
        <v>643</v>
      </c>
      <c r="C284" s="8">
        <v>102</v>
      </c>
      <c r="D284" s="8">
        <v>103</v>
      </c>
      <c r="E284" s="8">
        <v>107</v>
      </c>
      <c r="F284" s="8">
        <v>86</v>
      </c>
      <c r="G284" s="8">
        <v>90</v>
      </c>
      <c r="H284" s="8">
        <v>86</v>
      </c>
      <c r="I284" s="7">
        <f t="shared" si="4"/>
        <v>574</v>
      </c>
      <c r="K284" s="8" t="s">
        <v>2</v>
      </c>
      <c r="L284" s="7">
        <f>SUM(E282:E289)</f>
        <v>670</v>
      </c>
      <c r="N284" s="6"/>
      <c r="O284" s="7"/>
    </row>
    <row r="285" spans="1:15" ht="15">
      <c r="A285" s="8" t="s">
        <v>631</v>
      </c>
      <c r="B285" s="8" t="s">
        <v>644</v>
      </c>
      <c r="C285" s="8">
        <v>155</v>
      </c>
      <c r="D285" s="8">
        <v>162</v>
      </c>
      <c r="E285" s="8">
        <v>166</v>
      </c>
      <c r="F285" s="8">
        <v>140</v>
      </c>
      <c r="G285" s="8">
        <v>157</v>
      </c>
      <c r="H285" s="8">
        <v>173</v>
      </c>
      <c r="I285" s="7">
        <f t="shared" si="4"/>
        <v>953</v>
      </c>
      <c r="K285" s="8" t="s">
        <v>4</v>
      </c>
      <c r="L285" s="7">
        <f>SUM(F282:F289)</f>
        <v>604</v>
      </c>
      <c r="N285" s="6"/>
      <c r="O285" s="7"/>
    </row>
    <row r="286" spans="1:15" ht="15">
      <c r="A286" s="8" t="s">
        <v>631</v>
      </c>
      <c r="B286" s="8" t="s">
        <v>645</v>
      </c>
      <c r="C286" s="8">
        <v>120</v>
      </c>
      <c r="D286" s="8">
        <v>136</v>
      </c>
      <c r="E286" s="8">
        <v>155</v>
      </c>
      <c r="F286" s="8">
        <v>123</v>
      </c>
      <c r="G286" s="8">
        <v>153</v>
      </c>
      <c r="H286" s="8">
        <v>124</v>
      </c>
      <c r="I286" s="7">
        <f t="shared" si="4"/>
        <v>811</v>
      </c>
      <c r="K286" s="8" t="s">
        <v>5</v>
      </c>
      <c r="L286" s="7">
        <f>SUM(G282:G289)</f>
        <v>652</v>
      </c>
      <c r="N286" s="6"/>
      <c r="O286" s="7"/>
    </row>
    <row r="287" spans="1:15" ht="15">
      <c r="A287" s="8"/>
      <c r="B287" s="8"/>
      <c r="C287" s="8"/>
      <c r="D287" s="8"/>
      <c r="E287" s="8"/>
      <c r="F287" s="8"/>
      <c r="G287" s="8"/>
      <c r="H287" s="8"/>
      <c r="I287" s="7">
        <f t="shared" si="4"/>
        <v>0</v>
      </c>
      <c r="K287" s="8" t="s">
        <v>6</v>
      </c>
      <c r="L287" s="7">
        <f>SUM(H282:H289)</f>
        <v>623</v>
      </c>
      <c r="N287" s="6"/>
      <c r="O287" s="7"/>
    </row>
    <row r="288" spans="1:15" ht="15">
      <c r="A288" s="8"/>
      <c r="B288" s="8"/>
      <c r="C288" s="8"/>
      <c r="D288" s="8"/>
      <c r="E288" s="8"/>
      <c r="F288" s="8"/>
      <c r="G288" s="8"/>
      <c r="H288" s="8"/>
      <c r="I288" s="7">
        <f t="shared" si="4"/>
        <v>0</v>
      </c>
      <c r="K288" s="8"/>
      <c r="L288" s="7"/>
      <c r="N288" s="6"/>
      <c r="O288" s="7"/>
    </row>
    <row r="289" spans="1:15" ht="15">
      <c r="A289" s="8"/>
      <c r="B289" s="8"/>
      <c r="C289" s="8"/>
      <c r="D289" s="8"/>
      <c r="E289" s="8"/>
      <c r="F289" s="8"/>
      <c r="G289" s="8"/>
      <c r="H289" s="8"/>
      <c r="I289" s="7">
        <f t="shared" si="4"/>
        <v>0</v>
      </c>
      <c r="K289" s="8"/>
      <c r="L289" s="7"/>
      <c r="N289" s="6"/>
      <c r="O289" s="7"/>
    </row>
    <row r="290" spans="1:15" ht="15">
      <c r="A290" s="4"/>
      <c r="B290" s="4"/>
      <c r="C290" s="4"/>
      <c r="D290" s="4"/>
      <c r="E290" s="4"/>
      <c r="F290" s="4"/>
      <c r="G290" s="4"/>
      <c r="H290" s="4"/>
      <c r="I290" s="5">
        <f t="shared" si="4"/>
        <v>0</v>
      </c>
      <c r="K290" s="4" t="s">
        <v>0</v>
      </c>
      <c r="L290" s="5">
        <f>SUM(C290:C297)</f>
        <v>0</v>
      </c>
      <c r="N290" s="9">
        <f>A290</f>
        <v>0</v>
      </c>
      <c r="O290" s="5">
        <f>SUM(L290:L295)</f>
        <v>0</v>
      </c>
    </row>
    <row r="291" spans="1:15" ht="15">
      <c r="A291" s="9"/>
      <c r="B291" s="4"/>
      <c r="C291" s="4"/>
      <c r="D291" s="4"/>
      <c r="E291" s="4"/>
      <c r="F291" s="4"/>
      <c r="G291" s="4"/>
      <c r="H291" s="4"/>
      <c r="I291" s="5">
        <f t="shared" si="4"/>
        <v>0</v>
      </c>
      <c r="K291" s="4" t="s">
        <v>1</v>
      </c>
      <c r="L291" s="5">
        <f>SUM(D290:D297)</f>
        <v>0</v>
      </c>
      <c r="N291" s="9"/>
      <c r="O291" s="5"/>
    </row>
    <row r="292" spans="1:15" ht="15">
      <c r="A292" s="9"/>
      <c r="B292" s="4"/>
      <c r="C292" s="4"/>
      <c r="D292" s="4"/>
      <c r="E292" s="4"/>
      <c r="F292" s="4"/>
      <c r="G292" s="4"/>
      <c r="H292" s="4"/>
      <c r="I292" s="5">
        <f t="shared" si="4"/>
        <v>0</v>
      </c>
      <c r="K292" s="4" t="s">
        <v>2</v>
      </c>
      <c r="L292" s="5">
        <f>SUM(E290:E297)</f>
        <v>0</v>
      </c>
      <c r="N292" s="9"/>
      <c r="O292" s="5"/>
    </row>
    <row r="293" spans="1:15" ht="15">
      <c r="A293" s="9"/>
      <c r="B293" s="4"/>
      <c r="C293" s="4"/>
      <c r="D293" s="4"/>
      <c r="E293" s="4"/>
      <c r="F293" s="4"/>
      <c r="G293" s="4"/>
      <c r="H293" s="4"/>
      <c r="I293" s="5">
        <f t="shared" si="4"/>
        <v>0</v>
      </c>
      <c r="K293" s="4" t="s">
        <v>4</v>
      </c>
      <c r="L293" s="5">
        <f>SUM(F290:F297)</f>
        <v>0</v>
      </c>
      <c r="N293" s="9"/>
      <c r="O293" s="5"/>
    </row>
    <row r="294" spans="1:15" ht="15">
      <c r="A294" s="9"/>
      <c r="B294" s="4"/>
      <c r="C294" s="4"/>
      <c r="D294" s="4"/>
      <c r="E294" s="4"/>
      <c r="F294" s="4"/>
      <c r="G294" s="4"/>
      <c r="H294" s="4"/>
      <c r="I294" s="5">
        <f t="shared" si="4"/>
        <v>0</v>
      </c>
      <c r="K294" s="4" t="s">
        <v>5</v>
      </c>
      <c r="L294" s="5">
        <f>SUM(G290:G297)</f>
        <v>0</v>
      </c>
      <c r="N294" s="9"/>
      <c r="O294" s="5"/>
    </row>
    <row r="295" spans="1:15" ht="15">
      <c r="A295" s="9"/>
      <c r="B295" s="4"/>
      <c r="C295" s="4"/>
      <c r="D295" s="4"/>
      <c r="E295" s="4"/>
      <c r="F295" s="4"/>
      <c r="G295" s="4"/>
      <c r="H295" s="4"/>
      <c r="I295" s="5">
        <f t="shared" si="4"/>
        <v>0</v>
      </c>
      <c r="K295" s="4" t="s">
        <v>6</v>
      </c>
      <c r="L295" s="5">
        <f>SUM(H290:H297)</f>
        <v>0</v>
      </c>
      <c r="N295" s="9"/>
      <c r="O295" s="5"/>
    </row>
    <row r="296" spans="1:15" ht="15">
      <c r="A296" s="9"/>
      <c r="B296" s="4"/>
      <c r="C296" s="4"/>
      <c r="D296" s="4"/>
      <c r="E296" s="4"/>
      <c r="F296" s="4"/>
      <c r="G296" s="4"/>
      <c r="H296" s="4"/>
      <c r="I296" s="5">
        <f t="shared" si="4"/>
        <v>0</v>
      </c>
      <c r="K296" s="5"/>
      <c r="L296" s="5"/>
      <c r="N296" s="9"/>
      <c r="O296" s="5"/>
    </row>
    <row r="297" spans="1:15" ht="15">
      <c r="A297" s="9"/>
      <c r="B297" s="4"/>
      <c r="C297" s="4"/>
      <c r="D297" s="4"/>
      <c r="E297" s="4"/>
      <c r="F297" s="4"/>
      <c r="G297" s="4"/>
      <c r="H297" s="4"/>
      <c r="I297" s="5">
        <f t="shared" si="4"/>
        <v>0</v>
      </c>
      <c r="K297" s="4"/>
      <c r="L297" s="5"/>
      <c r="N297" s="9"/>
      <c r="O297" s="5"/>
    </row>
    <row r="298" spans="1:15" ht="15">
      <c r="A298" s="8"/>
      <c r="B298" s="8"/>
      <c r="C298" s="8"/>
      <c r="D298" s="8"/>
      <c r="E298" s="8"/>
      <c r="F298" s="8"/>
      <c r="G298" s="8"/>
      <c r="H298" s="8"/>
      <c r="I298" s="7">
        <f t="shared" si="4"/>
        <v>0</v>
      </c>
      <c r="K298" s="8" t="s">
        <v>0</v>
      </c>
      <c r="L298" s="7">
        <f>SUM(C298:C305)</f>
        <v>0</v>
      </c>
      <c r="N298" s="6">
        <f>A298</f>
        <v>0</v>
      </c>
      <c r="O298" s="7">
        <f>SUM(L298:L303)</f>
        <v>0</v>
      </c>
    </row>
    <row r="299" spans="1:15" ht="15">
      <c r="A299" s="8"/>
      <c r="B299" s="8"/>
      <c r="C299" s="8"/>
      <c r="D299" s="8"/>
      <c r="E299" s="8"/>
      <c r="F299" s="8"/>
      <c r="G299" s="8"/>
      <c r="H299" s="8"/>
      <c r="I299" s="7">
        <f t="shared" si="4"/>
        <v>0</v>
      </c>
      <c r="K299" s="8" t="s">
        <v>1</v>
      </c>
      <c r="L299" s="7">
        <f>SUM(D298:D305)</f>
        <v>0</v>
      </c>
      <c r="N299" s="6"/>
      <c r="O299" s="7"/>
    </row>
    <row r="300" spans="1:15" ht="15">
      <c r="A300" s="8"/>
      <c r="B300" s="8"/>
      <c r="C300" s="8"/>
      <c r="D300" s="8"/>
      <c r="E300" s="8"/>
      <c r="F300" s="8"/>
      <c r="G300" s="8"/>
      <c r="H300" s="8"/>
      <c r="I300" s="7">
        <f t="shared" si="4"/>
        <v>0</v>
      </c>
      <c r="K300" s="8" t="s">
        <v>2</v>
      </c>
      <c r="L300" s="7">
        <f>SUM(E298:E305)</f>
        <v>0</v>
      </c>
      <c r="N300" s="6"/>
      <c r="O300" s="7"/>
    </row>
    <row r="301" spans="1:15" ht="15">
      <c r="A301" s="8"/>
      <c r="B301" s="8"/>
      <c r="C301" s="8"/>
      <c r="D301" s="8"/>
      <c r="E301" s="8"/>
      <c r="F301" s="8"/>
      <c r="G301" s="8"/>
      <c r="H301" s="8"/>
      <c r="I301" s="7">
        <f t="shared" si="4"/>
        <v>0</v>
      </c>
      <c r="K301" s="8" t="s">
        <v>4</v>
      </c>
      <c r="L301" s="7">
        <f>SUM(F298:F305)</f>
        <v>0</v>
      </c>
      <c r="N301" s="6"/>
      <c r="O301" s="7"/>
    </row>
    <row r="302" spans="1:15" ht="15">
      <c r="A302" s="8"/>
      <c r="B302" s="8"/>
      <c r="C302" s="8"/>
      <c r="D302" s="8"/>
      <c r="E302" s="8"/>
      <c r="F302" s="8"/>
      <c r="G302" s="8"/>
      <c r="H302" s="8"/>
      <c r="I302" s="7">
        <f t="shared" si="4"/>
        <v>0</v>
      </c>
      <c r="K302" s="8" t="s">
        <v>5</v>
      </c>
      <c r="L302" s="7">
        <f>SUM(G298:G305)</f>
        <v>0</v>
      </c>
      <c r="N302" s="6"/>
      <c r="O302" s="7"/>
    </row>
    <row r="303" spans="1:15" ht="15">
      <c r="A303" s="8"/>
      <c r="B303" s="8"/>
      <c r="C303" s="8"/>
      <c r="D303" s="8"/>
      <c r="E303" s="8"/>
      <c r="F303" s="8"/>
      <c r="G303" s="8"/>
      <c r="H303" s="8"/>
      <c r="I303" s="7">
        <f t="shared" si="4"/>
        <v>0</v>
      </c>
      <c r="K303" s="8" t="s">
        <v>6</v>
      </c>
      <c r="L303" s="7">
        <f>SUM(H298:H305)</f>
        <v>0</v>
      </c>
      <c r="N303" s="6"/>
      <c r="O303" s="7"/>
    </row>
    <row r="304" spans="1:15" ht="15">
      <c r="A304" s="8"/>
      <c r="B304" s="8"/>
      <c r="C304" s="8"/>
      <c r="D304" s="8"/>
      <c r="E304" s="8"/>
      <c r="F304" s="8"/>
      <c r="G304" s="8"/>
      <c r="H304" s="8"/>
      <c r="I304" s="7">
        <f t="shared" si="4"/>
        <v>0</v>
      </c>
      <c r="K304" s="8"/>
      <c r="L304" s="7"/>
      <c r="N304" s="6"/>
      <c r="O304" s="7"/>
    </row>
    <row r="305" spans="1:15" ht="15">
      <c r="A305" s="8"/>
      <c r="B305" s="8"/>
      <c r="C305" s="8"/>
      <c r="D305" s="8"/>
      <c r="E305" s="8"/>
      <c r="F305" s="8"/>
      <c r="G305" s="8"/>
      <c r="H305" s="8"/>
      <c r="I305" s="7">
        <f t="shared" si="4"/>
        <v>0</v>
      </c>
      <c r="K305" s="8"/>
      <c r="L305" s="7"/>
      <c r="N305" s="6"/>
      <c r="O305" s="7"/>
    </row>
    <row r="306" spans="1:15" ht="15">
      <c r="A306" s="4"/>
      <c r="B306" s="4"/>
      <c r="C306" s="4"/>
      <c r="D306" s="4"/>
      <c r="E306" s="4"/>
      <c r="F306" s="4"/>
      <c r="G306" s="4"/>
      <c r="H306" s="4"/>
      <c r="I306" s="5">
        <f t="shared" si="4"/>
        <v>0</v>
      </c>
      <c r="K306" s="4" t="s">
        <v>0</v>
      </c>
      <c r="L306" s="5">
        <f>SUM(C306:C313)</f>
        <v>0</v>
      </c>
      <c r="N306" s="9">
        <f>A306</f>
        <v>0</v>
      </c>
      <c r="O306" s="5">
        <f>SUM(L306:L311)</f>
        <v>0</v>
      </c>
    </row>
    <row r="307" spans="1:15" ht="15">
      <c r="A307" s="9"/>
      <c r="B307" s="4"/>
      <c r="C307" s="4"/>
      <c r="D307" s="4"/>
      <c r="E307" s="4"/>
      <c r="F307" s="4"/>
      <c r="G307" s="4"/>
      <c r="H307" s="4"/>
      <c r="I307" s="5">
        <f t="shared" si="4"/>
        <v>0</v>
      </c>
      <c r="K307" s="4" t="s">
        <v>1</v>
      </c>
      <c r="L307" s="5">
        <f>SUM(D306:D313)</f>
        <v>0</v>
      </c>
      <c r="N307" s="9"/>
      <c r="O307" s="5"/>
    </row>
    <row r="308" spans="1:15" ht="15">
      <c r="A308" s="9"/>
      <c r="B308" s="4"/>
      <c r="C308" s="4"/>
      <c r="D308" s="4"/>
      <c r="E308" s="4"/>
      <c r="F308" s="4"/>
      <c r="G308" s="4"/>
      <c r="H308" s="4"/>
      <c r="I308" s="5">
        <f t="shared" si="4"/>
        <v>0</v>
      </c>
      <c r="K308" s="4" t="s">
        <v>2</v>
      </c>
      <c r="L308" s="5">
        <f>SUM(E306:E313)</f>
        <v>0</v>
      </c>
      <c r="N308" s="9"/>
      <c r="O308" s="5"/>
    </row>
    <row r="309" spans="1:15" ht="15">
      <c r="A309" s="9"/>
      <c r="B309" s="4"/>
      <c r="C309" s="4"/>
      <c r="D309" s="4"/>
      <c r="E309" s="4"/>
      <c r="F309" s="4"/>
      <c r="G309" s="4"/>
      <c r="H309" s="4"/>
      <c r="I309" s="5">
        <f t="shared" si="4"/>
        <v>0</v>
      </c>
      <c r="K309" s="4" t="s">
        <v>4</v>
      </c>
      <c r="L309" s="5">
        <f>SUM(F306:F313)</f>
        <v>0</v>
      </c>
      <c r="N309" s="9"/>
      <c r="O309" s="5"/>
    </row>
    <row r="310" spans="1:15" ht="15">
      <c r="A310" s="9"/>
      <c r="B310" s="4"/>
      <c r="C310" s="4"/>
      <c r="D310" s="4"/>
      <c r="E310" s="4"/>
      <c r="F310" s="4"/>
      <c r="G310" s="4"/>
      <c r="H310" s="4"/>
      <c r="I310" s="5">
        <f t="shared" si="4"/>
        <v>0</v>
      </c>
      <c r="K310" s="4" t="s">
        <v>5</v>
      </c>
      <c r="L310" s="5">
        <f>SUM(G306:G313)</f>
        <v>0</v>
      </c>
      <c r="N310" s="9"/>
      <c r="O310" s="5"/>
    </row>
    <row r="311" spans="1:15" ht="15">
      <c r="A311" s="9"/>
      <c r="B311" s="4"/>
      <c r="C311" s="4"/>
      <c r="D311" s="4"/>
      <c r="E311" s="4"/>
      <c r="F311" s="4"/>
      <c r="G311" s="4"/>
      <c r="H311" s="4"/>
      <c r="I311" s="5">
        <f t="shared" si="4"/>
        <v>0</v>
      </c>
      <c r="K311" s="4" t="s">
        <v>6</v>
      </c>
      <c r="L311" s="5">
        <f>SUM(H306:H313)</f>
        <v>0</v>
      </c>
      <c r="N311" s="9"/>
      <c r="O311" s="5"/>
    </row>
    <row r="312" spans="1:15" ht="15">
      <c r="A312" s="9"/>
      <c r="B312" s="4"/>
      <c r="C312" s="4"/>
      <c r="D312" s="4"/>
      <c r="E312" s="4"/>
      <c r="F312" s="4"/>
      <c r="G312" s="4"/>
      <c r="H312" s="4"/>
      <c r="I312" s="5">
        <f t="shared" si="4"/>
        <v>0</v>
      </c>
      <c r="K312" s="5"/>
      <c r="L312" s="5"/>
      <c r="N312" s="9"/>
      <c r="O312" s="5"/>
    </row>
    <row r="313" spans="1:15" ht="15">
      <c r="A313" s="9"/>
      <c r="B313" s="4"/>
      <c r="C313" s="4"/>
      <c r="D313" s="4"/>
      <c r="E313" s="4"/>
      <c r="F313" s="4"/>
      <c r="G313" s="4"/>
      <c r="H313" s="4"/>
      <c r="I313" s="5">
        <f t="shared" si="4"/>
        <v>0</v>
      </c>
      <c r="K313" s="4"/>
      <c r="L313" s="5"/>
      <c r="N313" s="9"/>
      <c r="O313" s="5"/>
    </row>
    <row r="314" spans="1:15" ht="15">
      <c r="A314" s="8"/>
      <c r="B314" s="8"/>
      <c r="C314" s="8"/>
      <c r="D314" s="8"/>
      <c r="E314" s="8"/>
      <c r="F314" s="8"/>
      <c r="G314" s="8"/>
      <c r="H314" s="8"/>
      <c r="I314" s="7">
        <f t="shared" si="4"/>
        <v>0</v>
      </c>
      <c r="K314" s="8" t="s">
        <v>0</v>
      </c>
      <c r="L314" s="7">
        <f>SUM(C314:C321)</f>
        <v>0</v>
      </c>
      <c r="N314" s="6">
        <f>A314</f>
        <v>0</v>
      </c>
      <c r="O314" s="7">
        <f>SUM(L314:L319)</f>
        <v>0</v>
      </c>
    </row>
    <row r="315" spans="1:15" ht="15">
      <c r="A315" s="8"/>
      <c r="B315" s="8"/>
      <c r="C315" s="8"/>
      <c r="D315" s="8"/>
      <c r="E315" s="8"/>
      <c r="F315" s="8"/>
      <c r="G315" s="8"/>
      <c r="H315" s="8"/>
      <c r="I315" s="7">
        <f t="shared" si="4"/>
        <v>0</v>
      </c>
      <c r="K315" s="8" t="s">
        <v>1</v>
      </c>
      <c r="L315" s="7">
        <f>SUM(D314:D321)</f>
        <v>0</v>
      </c>
      <c r="N315" s="6"/>
      <c r="O315" s="7"/>
    </row>
    <row r="316" spans="1:15" ht="15">
      <c r="A316" s="8"/>
      <c r="B316" s="8"/>
      <c r="C316" s="8"/>
      <c r="D316" s="8"/>
      <c r="E316" s="8"/>
      <c r="F316" s="8"/>
      <c r="G316" s="8"/>
      <c r="H316" s="8"/>
      <c r="I316" s="7">
        <f t="shared" si="4"/>
        <v>0</v>
      </c>
      <c r="K316" s="8" t="s">
        <v>2</v>
      </c>
      <c r="L316" s="7">
        <f>SUM(E314:E321)</f>
        <v>0</v>
      </c>
      <c r="N316" s="6"/>
      <c r="O316" s="7"/>
    </row>
    <row r="317" spans="1:15" ht="15">
      <c r="A317" s="8"/>
      <c r="B317" s="8"/>
      <c r="C317" s="8"/>
      <c r="D317" s="8"/>
      <c r="E317" s="8"/>
      <c r="F317" s="8"/>
      <c r="G317" s="8"/>
      <c r="H317" s="8"/>
      <c r="I317" s="7">
        <f t="shared" si="4"/>
        <v>0</v>
      </c>
      <c r="K317" s="8" t="s">
        <v>4</v>
      </c>
      <c r="L317" s="7">
        <f>SUM(F314:F321)</f>
        <v>0</v>
      </c>
      <c r="N317" s="6"/>
      <c r="O317" s="7"/>
    </row>
    <row r="318" spans="1:15" ht="15">
      <c r="A318" s="8"/>
      <c r="B318" s="8"/>
      <c r="C318" s="8"/>
      <c r="D318" s="8"/>
      <c r="E318" s="8"/>
      <c r="F318" s="8"/>
      <c r="G318" s="8"/>
      <c r="H318" s="8"/>
      <c r="I318" s="7">
        <f t="shared" si="4"/>
        <v>0</v>
      </c>
      <c r="K318" s="8" t="s">
        <v>5</v>
      </c>
      <c r="L318" s="7">
        <f>SUM(G314:G321)</f>
        <v>0</v>
      </c>
      <c r="N318" s="6"/>
      <c r="O318" s="7"/>
    </row>
    <row r="319" spans="1:15" ht="15">
      <c r="A319" s="8"/>
      <c r="B319" s="8"/>
      <c r="C319" s="8"/>
      <c r="D319" s="8"/>
      <c r="E319" s="8"/>
      <c r="F319" s="8"/>
      <c r="G319" s="8"/>
      <c r="H319" s="8"/>
      <c r="I319" s="7">
        <f t="shared" si="4"/>
        <v>0</v>
      </c>
      <c r="K319" s="8" t="s">
        <v>6</v>
      </c>
      <c r="L319" s="7">
        <f>SUM(H314:H321)</f>
        <v>0</v>
      </c>
      <c r="N319" s="6"/>
      <c r="O319" s="7"/>
    </row>
    <row r="320" spans="1:15" ht="15">
      <c r="A320" s="8"/>
      <c r="B320" s="8"/>
      <c r="C320" s="8"/>
      <c r="D320" s="8"/>
      <c r="E320" s="8"/>
      <c r="F320" s="8"/>
      <c r="G320" s="8"/>
      <c r="H320" s="8"/>
      <c r="I320" s="7">
        <f t="shared" si="4"/>
        <v>0</v>
      </c>
      <c r="K320" s="8"/>
      <c r="L320" s="7"/>
      <c r="N320" s="6"/>
      <c r="O320" s="7"/>
    </row>
    <row r="321" spans="1:15" ht="15">
      <c r="A321" s="8"/>
      <c r="B321" s="8"/>
      <c r="C321" s="8"/>
      <c r="D321" s="8"/>
      <c r="E321" s="8"/>
      <c r="F321" s="8"/>
      <c r="G321" s="8"/>
      <c r="H321" s="8"/>
      <c r="I321" s="7">
        <f t="shared" si="4"/>
        <v>0</v>
      </c>
      <c r="K321" s="8"/>
      <c r="L321" s="7"/>
      <c r="N321" s="6"/>
      <c r="O321" s="7"/>
    </row>
    <row r="322" spans="1:15" ht="15">
      <c r="A322" s="4"/>
      <c r="B322" s="4"/>
      <c r="C322" s="4"/>
      <c r="D322" s="4"/>
      <c r="E322" s="4"/>
      <c r="F322" s="4"/>
      <c r="G322" s="4"/>
      <c r="H322" s="4"/>
      <c r="I322" s="5">
        <f aca="true" t="shared" si="5" ref="I322:I385">SUM(C322:H322)</f>
        <v>0</v>
      </c>
      <c r="K322" s="4" t="s">
        <v>0</v>
      </c>
      <c r="L322" s="5">
        <f>SUM(C322:C329)</f>
        <v>0</v>
      </c>
      <c r="N322" s="9">
        <f>A322</f>
        <v>0</v>
      </c>
      <c r="O322" s="5">
        <f>SUM(L322:L327)</f>
        <v>0</v>
      </c>
    </row>
    <row r="323" spans="1:15" ht="15">
      <c r="A323" s="9"/>
      <c r="B323" s="4"/>
      <c r="C323" s="4"/>
      <c r="D323" s="4"/>
      <c r="E323" s="4"/>
      <c r="F323" s="4"/>
      <c r="G323" s="4"/>
      <c r="H323" s="4"/>
      <c r="I323" s="5">
        <f t="shared" si="5"/>
        <v>0</v>
      </c>
      <c r="K323" s="4" t="s">
        <v>1</v>
      </c>
      <c r="L323" s="5">
        <f>SUM(D322:D329)</f>
        <v>0</v>
      </c>
      <c r="N323" s="9"/>
      <c r="O323" s="5"/>
    </row>
    <row r="324" spans="1:15" ht="15">
      <c r="A324" s="9"/>
      <c r="B324" s="4"/>
      <c r="C324" s="4"/>
      <c r="D324" s="4"/>
      <c r="E324" s="4"/>
      <c r="F324" s="4"/>
      <c r="G324" s="4"/>
      <c r="H324" s="4"/>
      <c r="I324" s="5">
        <f t="shared" si="5"/>
        <v>0</v>
      </c>
      <c r="K324" s="4" t="s">
        <v>2</v>
      </c>
      <c r="L324" s="5">
        <f>SUM(E322:E329)</f>
        <v>0</v>
      </c>
      <c r="N324" s="9"/>
      <c r="O324" s="5"/>
    </row>
    <row r="325" spans="1:15" ht="15">
      <c r="A325" s="9"/>
      <c r="B325" s="4"/>
      <c r="C325" s="4"/>
      <c r="D325" s="4"/>
      <c r="E325" s="4"/>
      <c r="F325" s="4"/>
      <c r="G325" s="4"/>
      <c r="H325" s="4"/>
      <c r="I325" s="5">
        <f t="shared" si="5"/>
        <v>0</v>
      </c>
      <c r="K325" s="4" t="s">
        <v>4</v>
      </c>
      <c r="L325" s="5">
        <f>SUM(F322:F329)</f>
        <v>0</v>
      </c>
      <c r="N325" s="9"/>
      <c r="O325" s="5"/>
    </row>
    <row r="326" spans="1:15" ht="15">
      <c r="A326" s="9"/>
      <c r="B326" s="4"/>
      <c r="C326" s="4"/>
      <c r="D326" s="4"/>
      <c r="E326" s="4"/>
      <c r="F326" s="4"/>
      <c r="G326" s="4"/>
      <c r="H326" s="4"/>
      <c r="I326" s="5">
        <f t="shared" si="5"/>
        <v>0</v>
      </c>
      <c r="K326" s="4" t="s">
        <v>5</v>
      </c>
      <c r="L326" s="5">
        <f>SUM(G322:G329)</f>
        <v>0</v>
      </c>
      <c r="N326" s="9"/>
      <c r="O326" s="5"/>
    </row>
    <row r="327" spans="1:15" ht="15">
      <c r="A327" s="9"/>
      <c r="B327" s="4"/>
      <c r="C327" s="4"/>
      <c r="D327" s="4"/>
      <c r="E327" s="4"/>
      <c r="F327" s="4"/>
      <c r="G327" s="4"/>
      <c r="H327" s="4"/>
      <c r="I327" s="5">
        <f t="shared" si="5"/>
        <v>0</v>
      </c>
      <c r="K327" s="4" t="s">
        <v>6</v>
      </c>
      <c r="L327" s="5">
        <f>SUM(H322:H329)</f>
        <v>0</v>
      </c>
      <c r="N327" s="9"/>
      <c r="O327" s="5"/>
    </row>
    <row r="328" spans="1:15" ht="15">
      <c r="A328" s="9"/>
      <c r="B328" s="4"/>
      <c r="C328" s="4"/>
      <c r="D328" s="4"/>
      <c r="E328" s="4"/>
      <c r="F328" s="4"/>
      <c r="G328" s="4"/>
      <c r="H328" s="4"/>
      <c r="I328" s="5">
        <f t="shared" si="5"/>
        <v>0</v>
      </c>
      <c r="K328" s="5"/>
      <c r="L328" s="5"/>
      <c r="N328" s="9"/>
      <c r="O328" s="5"/>
    </row>
    <row r="329" spans="1:15" ht="15">
      <c r="A329" s="9"/>
      <c r="B329" s="4"/>
      <c r="C329" s="4"/>
      <c r="D329" s="4"/>
      <c r="E329" s="4"/>
      <c r="F329" s="4"/>
      <c r="G329" s="4"/>
      <c r="H329" s="4"/>
      <c r="I329" s="5">
        <f t="shared" si="5"/>
        <v>0</v>
      </c>
      <c r="K329" s="4"/>
      <c r="L329" s="5"/>
      <c r="N329" s="9"/>
      <c r="O329" s="5"/>
    </row>
    <row r="330" spans="1:15" ht="15">
      <c r="A330" s="8"/>
      <c r="B330" s="8"/>
      <c r="C330" s="8"/>
      <c r="D330" s="8"/>
      <c r="E330" s="8"/>
      <c r="F330" s="8"/>
      <c r="G330" s="8"/>
      <c r="H330" s="8"/>
      <c r="I330" s="7">
        <f t="shared" si="5"/>
        <v>0</v>
      </c>
      <c r="K330" s="8" t="s">
        <v>0</v>
      </c>
      <c r="L330" s="7">
        <f>SUM(C330:C337)</f>
        <v>0</v>
      </c>
      <c r="N330" s="6">
        <f>A330</f>
        <v>0</v>
      </c>
      <c r="O330" s="7">
        <f>SUM(L330:L335)</f>
        <v>0</v>
      </c>
    </row>
    <row r="331" spans="1:15" ht="15">
      <c r="A331" s="8"/>
      <c r="B331" s="8"/>
      <c r="C331" s="8"/>
      <c r="D331" s="8"/>
      <c r="E331" s="8"/>
      <c r="F331" s="8"/>
      <c r="G331" s="8"/>
      <c r="H331" s="8"/>
      <c r="I331" s="7">
        <f t="shared" si="5"/>
        <v>0</v>
      </c>
      <c r="K331" s="8" t="s">
        <v>1</v>
      </c>
      <c r="L331" s="7">
        <f>SUM(D330:D337)</f>
        <v>0</v>
      </c>
      <c r="N331" s="6"/>
      <c r="O331" s="7"/>
    </row>
    <row r="332" spans="1:15" ht="15">
      <c r="A332" s="8"/>
      <c r="B332" s="8"/>
      <c r="C332" s="8"/>
      <c r="D332" s="8"/>
      <c r="E332" s="8"/>
      <c r="F332" s="8"/>
      <c r="G332" s="8"/>
      <c r="H332" s="8"/>
      <c r="I332" s="7">
        <f t="shared" si="5"/>
        <v>0</v>
      </c>
      <c r="K332" s="8" t="s">
        <v>2</v>
      </c>
      <c r="L332" s="7">
        <f>SUM(E330:E337)</f>
        <v>0</v>
      </c>
      <c r="N332" s="6"/>
      <c r="O332" s="7"/>
    </row>
    <row r="333" spans="1:15" ht="15">
      <c r="A333" s="8"/>
      <c r="B333" s="8"/>
      <c r="C333" s="8"/>
      <c r="D333" s="8"/>
      <c r="E333" s="8"/>
      <c r="F333" s="8"/>
      <c r="G333" s="8"/>
      <c r="H333" s="8"/>
      <c r="I333" s="7">
        <f t="shared" si="5"/>
        <v>0</v>
      </c>
      <c r="K333" s="8" t="s">
        <v>4</v>
      </c>
      <c r="L333" s="7">
        <f>SUM(F330:F337)</f>
        <v>0</v>
      </c>
      <c r="N333" s="6"/>
      <c r="O333" s="7"/>
    </row>
    <row r="334" spans="1:15" ht="15">
      <c r="A334" s="8"/>
      <c r="B334" s="8"/>
      <c r="C334" s="8"/>
      <c r="D334" s="8"/>
      <c r="E334" s="8"/>
      <c r="F334" s="8"/>
      <c r="G334" s="8"/>
      <c r="H334" s="8"/>
      <c r="I334" s="7">
        <f t="shared" si="5"/>
        <v>0</v>
      </c>
      <c r="K334" s="8" t="s">
        <v>5</v>
      </c>
      <c r="L334" s="7">
        <f>SUM(G330:G337)</f>
        <v>0</v>
      </c>
      <c r="N334" s="6"/>
      <c r="O334" s="7"/>
    </row>
    <row r="335" spans="1:15" ht="15">
      <c r="A335" s="8"/>
      <c r="B335" s="8"/>
      <c r="C335" s="8"/>
      <c r="D335" s="8"/>
      <c r="E335" s="8"/>
      <c r="F335" s="8"/>
      <c r="G335" s="8"/>
      <c r="H335" s="8"/>
      <c r="I335" s="7">
        <f t="shared" si="5"/>
        <v>0</v>
      </c>
      <c r="K335" s="8" t="s">
        <v>6</v>
      </c>
      <c r="L335" s="7">
        <f>SUM(H330:H337)</f>
        <v>0</v>
      </c>
      <c r="N335" s="6"/>
      <c r="O335" s="7"/>
    </row>
    <row r="336" spans="1:15" ht="15">
      <c r="A336" s="8"/>
      <c r="B336" s="8"/>
      <c r="C336" s="8"/>
      <c r="D336" s="8"/>
      <c r="E336" s="8"/>
      <c r="F336" s="8"/>
      <c r="G336" s="8"/>
      <c r="H336" s="8"/>
      <c r="I336" s="7">
        <f t="shared" si="5"/>
        <v>0</v>
      </c>
      <c r="K336" s="8"/>
      <c r="L336" s="7"/>
      <c r="N336" s="6"/>
      <c r="O336" s="7"/>
    </row>
    <row r="337" spans="1:15" ht="15">
      <c r="A337" s="8"/>
      <c r="B337" s="8"/>
      <c r="C337" s="8"/>
      <c r="D337" s="8"/>
      <c r="E337" s="8"/>
      <c r="F337" s="8"/>
      <c r="G337" s="8"/>
      <c r="H337" s="8"/>
      <c r="I337" s="7">
        <f t="shared" si="5"/>
        <v>0</v>
      </c>
      <c r="K337" s="8"/>
      <c r="L337" s="7"/>
      <c r="N337" s="6"/>
      <c r="O337" s="7"/>
    </row>
    <row r="338" spans="1:15" ht="15">
      <c r="A338" s="4"/>
      <c r="B338" s="4"/>
      <c r="C338" s="4"/>
      <c r="D338" s="4"/>
      <c r="E338" s="4"/>
      <c r="F338" s="4"/>
      <c r="G338" s="4"/>
      <c r="H338" s="4"/>
      <c r="I338" s="5">
        <f t="shared" si="5"/>
        <v>0</v>
      </c>
      <c r="K338" s="4" t="s">
        <v>0</v>
      </c>
      <c r="L338" s="5">
        <f>SUM(C338:C345)</f>
        <v>0</v>
      </c>
      <c r="N338" s="9">
        <f>A338</f>
        <v>0</v>
      </c>
      <c r="O338" s="5">
        <f>SUM(L338:L343)</f>
        <v>0</v>
      </c>
    </row>
    <row r="339" spans="1:15" ht="15">
      <c r="A339" s="9"/>
      <c r="B339" s="4"/>
      <c r="C339" s="4"/>
      <c r="D339" s="4"/>
      <c r="E339" s="4"/>
      <c r="F339" s="4"/>
      <c r="G339" s="4"/>
      <c r="H339" s="4"/>
      <c r="I339" s="5">
        <f t="shared" si="5"/>
        <v>0</v>
      </c>
      <c r="K339" s="4" t="s">
        <v>1</v>
      </c>
      <c r="L339" s="5">
        <f>SUM(D338:D345)</f>
        <v>0</v>
      </c>
      <c r="N339" s="9"/>
      <c r="O339" s="5"/>
    </row>
    <row r="340" spans="1:15" ht="15">
      <c r="A340" s="9"/>
      <c r="B340" s="4"/>
      <c r="C340" s="4"/>
      <c r="D340" s="4"/>
      <c r="E340" s="4"/>
      <c r="F340" s="4"/>
      <c r="G340" s="4"/>
      <c r="H340" s="4"/>
      <c r="I340" s="5">
        <f t="shared" si="5"/>
        <v>0</v>
      </c>
      <c r="K340" s="4" t="s">
        <v>2</v>
      </c>
      <c r="L340" s="5">
        <f>SUM(E338:E345)</f>
        <v>0</v>
      </c>
      <c r="N340" s="9"/>
      <c r="O340" s="5"/>
    </row>
    <row r="341" spans="1:15" ht="15">
      <c r="A341" s="9"/>
      <c r="B341" s="4"/>
      <c r="C341" s="4"/>
      <c r="D341" s="4"/>
      <c r="E341" s="4"/>
      <c r="F341" s="4"/>
      <c r="G341" s="4"/>
      <c r="H341" s="4"/>
      <c r="I341" s="5">
        <f t="shared" si="5"/>
        <v>0</v>
      </c>
      <c r="K341" s="4" t="s">
        <v>4</v>
      </c>
      <c r="L341" s="5">
        <f>SUM(F338:F345)</f>
        <v>0</v>
      </c>
      <c r="N341" s="9"/>
      <c r="O341" s="5"/>
    </row>
    <row r="342" spans="1:15" ht="15">
      <c r="A342" s="9"/>
      <c r="B342" s="4"/>
      <c r="C342" s="4"/>
      <c r="D342" s="4"/>
      <c r="E342" s="4"/>
      <c r="F342" s="4"/>
      <c r="G342" s="4"/>
      <c r="H342" s="4"/>
      <c r="I342" s="5">
        <f t="shared" si="5"/>
        <v>0</v>
      </c>
      <c r="K342" s="4" t="s">
        <v>5</v>
      </c>
      <c r="L342" s="5">
        <f>SUM(G338:G345)</f>
        <v>0</v>
      </c>
      <c r="N342" s="9"/>
      <c r="O342" s="5"/>
    </row>
    <row r="343" spans="1:15" ht="15">
      <c r="A343" s="9"/>
      <c r="B343" s="4"/>
      <c r="C343" s="4"/>
      <c r="D343" s="4"/>
      <c r="E343" s="4"/>
      <c r="F343" s="4"/>
      <c r="G343" s="4"/>
      <c r="H343" s="4"/>
      <c r="I343" s="5">
        <f t="shared" si="5"/>
        <v>0</v>
      </c>
      <c r="K343" s="4" t="s">
        <v>6</v>
      </c>
      <c r="L343" s="5">
        <f>SUM(H338:H345)</f>
        <v>0</v>
      </c>
      <c r="N343" s="9"/>
      <c r="O343" s="5"/>
    </row>
    <row r="344" spans="1:15" ht="15">
      <c r="A344" s="9"/>
      <c r="B344" s="4"/>
      <c r="C344" s="4"/>
      <c r="D344" s="4"/>
      <c r="E344" s="4"/>
      <c r="F344" s="4"/>
      <c r="G344" s="4"/>
      <c r="H344" s="4"/>
      <c r="I344" s="5">
        <f t="shared" si="5"/>
        <v>0</v>
      </c>
      <c r="K344" s="5"/>
      <c r="L344" s="5"/>
      <c r="N344" s="9"/>
      <c r="O344" s="5"/>
    </row>
    <row r="345" spans="1:15" ht="15">
      <c r="A345" s="9"/>
      <c r="B345" s="4"/>
      <c r="C345" s="4"/>
      <c r="D345" s="4"/>
      <c r="E345" s="4"/>
      <c r="F345" s="4"/>
      <c r="G345" s="4"/>
      <c r="H345" s="4"/>
      <c r="I345" s="5">
        <f t="shared" si="5"/>
        <v>0</v>
      </c>
      <c r="K345" s="4"/>
      <c r="L345" s="5"/>
      <c r="N345" s="9"/>
      <c r="O345" s="5"/>
    </row>
    <row r="346" spans="1:15" ht="15">
      <c r="A346" s="8"/>
      <c r="B346" s="8"/>
      <c r="C346" s="8"/>
      <c r="D346" s="8"/>
      <c r="E346" s="8"/>
      <c r="F346" s="8"/>
      <c r="G346" s="8"/>
      <c r="H346" s="8"/>
      <c r="I346" s="7">
        <f t="shared" si="5"/>
        <v>0</v>
      </c>
      <c r="K346" s="8" t="s">
        <v>0</v>
      </c>
      <c r="L346" s="7">
        <f>SUM(C346:C353)</f>
        <v>0</v>
      </c>
      <c r="N346" s="6">
        <f>A346</f>
        <v>0</v>
      </c>
      <c r="O346" s="7">
        <f>SUM(L346:L351)</f>
        <v>0</v>
      </c>
    </row>
    <row r="347" spans="1:15" ht="15">
      <c r="A347" s="8"/>
      <c r="B347" s="8"/>
      <c r="C347" s="8"/>
      <c r="D347" s="8"/>
      <c r="E347" s="8"/>
      <c r="F347" s="8"/>
      <c r="G347" s="8"/>
      <c r="H347" s="8"/>
      <c r="I347" s="7">
        <f t="shared" si="5"/>
        <v>0</v>
      </c>
      <c r="K347" s="8" t="s">
        <v>1</v>
      </c>
      <c r="L347" s="7">
        <f>SUM(D346:D353)</f>
        <v>0</v>
      </c>
      <c r="N347" s="6"/>
      <c r="O347" s="7"/>
    </row>
    <row r="348" spans="1:15" ht="15">
      <c r="A348" s="8"/>
      <c r="B348" s="8"/>
      <c r="C348" s="8"/>
      <c r="D348" s="8"/>
      <c r="E348" s="8"/>
      <c r="F348" s="8"/>
      <c r="G348" s="8"/>
      <c r="H348" s="8"/>
      <c r="I348" s="7">
        <f t="shared" si="5"/>
        <v>0</v>
      </c>
      <c r="K348" s="8" t="s">
        <v>2</v>
      </c>
      <c r="L348" s="7">
        <f>SUM(E346:E353)</f>
        <v>0</v>
      </c>
      <c r="N348" s="6"/>
      <c r="O348" s="7"/>
    </row>
    <row r="349" spans="1:15" ht="15">
      <c r="A349" s="8"/>
      <c r="B349" s="8"/>
      <c r="C349" s="8"/>
      <c r="D349" s="8"/>
      <c r="E349" s="8"/>
      <c r="F349" s="8"/>
      <c r="G349" s="8"/>
      <c r="H349" s="8"/>
      <c r="I349" s="7">
        <f t="shared" si="5"/>
        <v>0</v>
      </c>
      <c r="K349" s="8" t="s">
        <v>4</v>
      </c>
      <c r="L349" s="7">
        <f>SUM(F346:F353)</f>
        <v>0</v>
      </c>
      <c r="N349" s="6"/>
      <c r="O349" s="7"/>
    </row>
    <row r="350" spans="1:15" ht="15">
      <c r="A350" s="8"/>
      <c r="B350" s="8"/>
      <c r="C350" s="8"/>
      <c r="D350" s="8"/>
      <c r="E350" s="8"/>
      <c r="F350" s="8"/>
      <c r="G350" s="8"/>
      <c r="H350" s="8"/>
      <c r="I350" s="7">
        <f t="shared" si="5"/>
        <v>0</v>
      </c>
      <c r="K350" s="8" t="s">
        <v>5</v>
      </c>
      <c r="L350" s="7">
        <f>SUM(G346:G353)</f>
        <v>0</v>
      </c>
      <c r="N350" s="6"/>
      <c r="O350" s="7"/>
    </row>
    <row r="351" spans="1:15" ht="15">
      <c r="A351" s="8"/>
      <c r="B351" s="8"/>
      <c r="C351" s="8"/>
      <c r="D351" s="8"/>
      <c r="E351" s="8"/>
      <c r="F351" s="8"/>
      <c r="G351" s="8"/>
      <c r="H351" s="8"/>
      <c r="I351" s="7">
        <f t="shared" si="5"/>
        <v>0</v>
      </c>
      <c r="K351" s="8" t="s">
        <v>6</v>
      </c>
      <c r="L351" s="7">
        <f>SUM(H346:H353)</f>
        <v>0</v>
      </c>
      <c r="N351" s="6"/>
      <c r="O351" s="7"/>
    </row>
    <row r="352" spans="1:15" ht="15">
      <c r="A352" s="8"/>
      <c r="B352" s="8"/>
      <c r="C352" s="8"/>
      <c r="D352" s="8"/>
      <c r="E352" s="8"/>
      <c r="F352" s="8"/>
      <c r="G352" s="8"/>
      <c r="H352" s="8"/>
      <c r="I352" s="7">
        <f t="shared" si="5"/>
        <v>0</v>
      </c>
      <c r="K352" s="8"/>
      <c r="L352" s="7"/>
      <c r="N352" s="6"/>
      <c r="O352" s="7"/>
    </row>
    <row r="353" spans="1:15" ht="15">
      <c r="A353" s="8"/>
      <c r="B353" s="8"/>
      <c r="C353" s="8"/>
      <c r="D353" s="8"/>
      <c r="E353" s="8"/>
      <c r="F353" s="8"/>
      <c r="G353" s="8"/>
      <c r="H353" s="8"/>
      <c r="I353" s="7">
        <f t="shared" si="5"/>
        <v>0</v>
      </c>
      <c r="K353" s="8"/>
      <c r="L353" s="7"/>
      <c r="N353" s="6"/>
      <c r="O353" s="7"/>
    </row>
    <row r="354" spans="1:15" ht="15">
      <c r="A354" s="4"/>
      <c r="B354" s="4"/>
      <c r="C354" s="4"/>
      <c r="D354" s="4"/>
      <c r="E354" s="4"/>
      <c r="F354" s="4"/>
      <c r="G354" s="4"/>
      <c r="H354" s="4"/>
      <c r="I354" s="5">
        <f t="shared" si="5"/>
        <v>0</v>
      </c>
      <c r="K354" s="4" t="s">
        <v>0</v>
      </c>
      <c r="L354" s="5">
        <f>SUM(C354:C361)</f>
        <v>0</v>
      </c>
      <c r="N354" s="9">
        <f>A354</f>
        <v>0</v>
      </c>
      <c r="O354" s="5">
        <f>SUM(L354:L359)</f>
        <v>0</v>
      </c>
    </row>
    <row r="355" spans="1:15" ht="15">
      <c r="A355" s="9"/>
      <c r="B355" s="4"/>
      <c r="C355" s="4"/>
      <c r="D355" s="4"/>
      <c r="E355" s="4"/>
      <c r="F355" s="4"/>
      <c r="G355" s="4"/>
      <c r="H355" s="4"/>
      <c r="I355" s="5">
        <f t="shared" si="5"/>
        <v>0</v>
      </c>
      <c r="K355" s="4" t="s">
        <v>1</v>
      </c>
      <c r="L355" s="5">
        <f>SUM(D354:D361)</f>
        <v>0</v>
      </c>
      <c r="N355" s="9"/>
      <c r="O355" s="5"/>
    </row>
    <row r="356" spans="1:15" ht="15">
      <c r="A356" s="9"/>
      <c r="B356" s="4"/>
      <c r="C356" s="4"/>
      <c r="D356" s="4"/>
      <c r="E356" s="4"/>
      <c r="F356" s="4"/>
      <c r="G356" s="4"/>
      <c r="H356" s="4"/>
      <c r="I356" s="5">
        <f t="shared" si="5"/>
        <v>0</v>
      </c>
      <c r="K356" s="4" t="s">
        <v>2</v>
      </c>
      <c r="L356" s="5">
        <f>SUM(E354:E361)</f>
        <v>0</v>
      </c>
      <c r="N356" s="9"/>
      <c r="O356" s="5"/>
    </row>
    <row r="357" spans="1:15" ht="15">
      <c r="A357" s="9"/>
      <c r="B357" s="4"/>
      <c r="C357" s="4"/>
      <c r="D357" s="4"/>
      <c r="E357" s="4"/>
      <c r="F357" s="4"/>
      <c r="G357" s="4"/>
      <c r="H357" s="4"/>
      <c r="I357" s="5">
        <f t="shared" si="5"/>
        <v>0</v>
      </c>
      <c r="K357" s="4" t="s">
        <v>4</v>
      </c>
      <c r="L357" s="5">
        <f>SUM(F354:F361)</f>
        <v>0</v>
      </c>
      <c r="N357" s="9"/>
      <c r="O357" s="5"/>
    </row>
    <row r="358" spans="1:15" ht="15">
      <c r="A358" s="9"/>
      <c r="B358" s="4"/>
      <c r="C358" s="4"/>
      <c r="D358" s="4"/>
      <c r="E358" s="4"/>
      <c r="F358" s="4"/>
      <c r="G358" s="4"/>
      <c r="H358" s="4"/>
      <c r="I358" s="5">
        <f t="shared" si="5"/>
        <v>0</v>
      </c>
      <c r="K358" s="4" t="s">
        <v>5</v>
      </c>
      <c r="L358" s="5">
        <f>SUM(G354:G361)</f>
        <v>0</v>
      </c>
      <c r="N358" s="9"/>
      <c r="O358" s="5"/>
    </row>
    <row r="359" spans="1:15" ht="15">
      <c r="A359" s="9"/>
      <c r="B359" s="4"/>
      <c r="C359" s="4"/>
      <c r="D359" s="4"/>
      <c r="E359" s="4"/>
      <c r="F359" s="4"/>
      <c r="G359" s="4"/>
      <c r="H359" s="4"/>
      <c r="I359" s="5">
        <f t="shared" si="5"/>
        <v>0</v>
      </c>
      <c r="K359" s="4" t="s">
        <v>6</v>
      </c>
      <c r="L359" s="5">
        <f>SUM(H354:H361)</f>
        <v>0</v>
      </c>
      <c r="N359" s="9"/>
      <c r="O359" s="5"/>
    </row>
    <row r="360" spans="1:15" ht="15">
      <c r="A360" s="9"/>
      <c r="B360" s="4"/>
      <c r="C360" s="4"/>
      <c r="D360" s="4"/>
      <c r="E360" s="4"/>
      <c r="F360" s="4"/>
      <c r="G360" s="4"/>
      <c r="H360" s="4"/>
      <c r="I360" s="5">
        <f t="shared" si="5"/>
        <v>0</v>
      </c>
      <c r="K360" s="5"/>
      <c r="L360" s="5"/>
      <c r="N360" s="9"/>
      <c r="O360" s="5"/>
    </row>
    <row r="361" spans="1:15" ht="15">
      <c r="A361" s="9"/>
      <c r="B361" s="4"/>
      <c r="C361" s="4"/>
      <c r="D361" s="4"/>
      <c r="E361" s="4"/>
      <c r="F361" s="4"/>
      <c r="G361" s="4"/>
      <c r="H361" s="4"/>
      <c r="I361" s="5">
        <f t="shared" si="5"/>
        <v>0</v>
      </c>
      <c r="K361" s="4"/>
      <c r="L361" s="5"/>
      <c r="N361" s="9"/>
      <c r="O361" s="5"/>
    </row>
    <row r="362" spans="1:15" ht="15">
      <c r="A362" s="8"/>
      <c r="B362" s="8"/>
      <c r="C362" s="8"/>
      <c r="D362" s="8"/>
      <c r="E362" s="8"/>
      <c r="F362" s="8"/>
      <c r="G362" s="8"/>
      <c r="H362" s="8"/>
      <c r="I362" s="7">
        <f t="shared" si="5"/>
        <v>0</v>
      </c>
      <c r="K362" s="8" t="s">
        <v>0</v>
      </c>
      <c r="L362" s="7">
        <f>SUM(C362:C369)</f>
        <v>0</v>
      </c>
      <c r="N362" s="6">
        <f>A362</f>
        <v>0</v>
      </c>
      <c r="O362" s="7">
        <f>SUM(L362:L367)</f>
        <v>0</v>
      </c>
    </row>
    <row r="363" spans="1:15" ht="15">
      <c r="A363" s="8"/>
      <c r="B363" s="8"/>
      <c r="C363" s="8"/>
      <c r="D363" s="8"/>
      <c r="E363" s="8"/>
      <c r="F363" s="8"/>
      <c r="G363" s="8"/>
      <c r="H363" s="8"/>
      <c r="I363" s="7">
        <f t="shared" si="5"/>
        <v>0</v>
      </c>
      <c r="K363" s="8" t="s">
        <v>1</v>
      </c>
      <c r="L363" s="7">
        <f>SUM(D362:D369)</f>
        <v>0</v>
      </c>
      <c r="N363" s="6"/>
      <c r="O363" s="7"/>
    </row>
    <row r="364" spans="1:15" ht="15">
      <c r="A364" s="8"/>
      <c r="B364" s="8"/>
      <c r="C364" s="8"/>
      <c r="D364" s="8"/>
      <c r="E364" s="8"/>
      <c r="F364" s="8"/>
      <c r="G364" s="8"/>
      <c r="H364" s="8"/>
      <c r="I364" s="7">
        <f t="shared" si="5"/>
        <v>0</v>
      </c>
      <c r="K364" s="8" t="s">
        <v>2</v>
      </c>
      <c r="L364" s="7">
        <f>SUM(E362:E369)</f>
        <v>0</v>
      </c>
      <c r="N364" s="6"/>
      <c r="O364" s="7"/>
    </row>
    <row r="365" spans="1:15" ht="15">
      <c r="A365" s="8"/>
      <c r="B365" s="8"/>
      <c r="C365" s="8"/>
      <c r="D365" s="8"/>
      <c r="E365" s="8"/>
      <c r="F365" s="8"/>
      <c r="G365" s="8"/>
      <c r="H365" s="8"/>
      <c r="I365" s="7">
        <f t="shared" si="5"/>
        <v>0</v>
      </c>
      <c r="K365" s="8" t="s">
        <v>4</v>
      </c>
      <c r="L365" s="7">
        <f>SUM(F362:F369)</f>
        <v>0</v>
      </c>
      <c r="N365" s="6"/>
      <c r="O365" s="7"/>
    </row>
    <row r="366" spans="1:15" ht="15">
      <c r="A366" s="8"/>
      <c r="B366" s="8"/>
      <c r="C366" s="8"/>
      <c r="D366" s="8"/>
      <c r="E366" s="8"/>
      <c r="F366" s="8"/>
      <c r="G366" s="8"/>
      <c r="H366" s="8"/>
      <c r="I366" s="7">
        <f t="shared" si="5"/>
        <v>0</v>
      </c>
      <c r="K366" s="8" t="s">
        <v>5</v>
      </c>
      <c r="L366" s="7">
        <f>SUM(G362:G369)</f>
        <v>0</v>
      </c>
      <c r="N366" s="6"/>
      <c r="O366" s="7"/>
    </row>
    <row r="367" spans="1:15" ht="15">
      <c r="A367" s="8"/>
      <c r="B367" s="8"/>
      <c r="C367" s="8"/>
      <c r="D367" s="8"/>
      <c r="E367" s="8"/>
      <c r="F367" s="8"/>
      <c r="G367" s="8"/>
      <c r="H367" s="8"/>
      <c r="I367" s="7">
        <f t="shared" si="5"/>
        <v>0</v>
      </c>
      <c r="K367" s="8" t="s">
        <v>6</v>
      </c>
      <c r="L367" s="7">
        <f>SUM(H362:H369)</f>
        <v>0</v>
      </c>
      <c r="N367" s="6"/>
      <c r="O367" s="7"/>
    </row>
    <row r="368" spans="1:15" ht="15">
      <c r="A368" s="8"/>
      <c r="B368" s="8"/>
      <c r="C368" s="8"/>
      <c r="D368" s="8"/>
      <c r="E368" s="8"/>
      <c r="F368" s="8"/>
      <c r="G368" s="8"/>
      <c r="H368" s="8"/>
      <c r="I368" s="7">
        <f t="shared" si="5"/>
        <v>0</v>
      </c>
      <c r="K368" s="8"/>
      <c r="L368" s="7"/>
      <c r="N368" s="6"/>
      <c r="O368" s="7"/>
    </row>
    <row r="369" spans="1:15" ht="15">
      <c r="A369" s="8"/>
      <c r="B369" s="8"/>
      <c r="C369" s="8"/>
      <c r="D369" s="8"/>
      <c r="E369" s="8"/>
      <c r="F369" s="8"/>
      <c r="G369" s="8"/>
      <c r="H369" s="8"/>
      <c r="I369" s="7">
        <f t="shared" si="5"/>
        <v>0</v>
      </c>
      <c r="K369" s="8"/>
      <c r="L369" s="7"/>
      <c r="N369" s="6"/>
      <c r="O369" s="7"/>
    </row>
    <row r="370" spans="1:15" ht="15">
      <c r="A370" s="4"/>
      <c r="B370" s="4"/>
      <c r="C370" s="4"/>
      <c r="D370" s="4"/>
      <c r="E370" s="4"/>
      <c r="F370" s="4"/>
      <c r="G370" s="4"/>
      <c r="H370" s="4"/>
      <c r="I370" s="5">
        <f t="shared" si="5"/>
        <v>0</v>
      </c>
      <c r="K370" s="4" t="s">
        <v>0</v>
      </c>
      <c r="L370" s="5">
        <f>SUM(C370:C377)</f>
        <v>0</v>
      </c>
      <c r="N370" s="9">
        <f>A370</f>
        <v>0</v>
      </c>
      <c r="O370" s="5">
        <f>SUM(L370:L375)</f>
        <v>0</v>
      </c>
    </row>
    <row r="371" spans="1:15" ht="15">
      <c r="A371" s="9"/>
      <c r="B371" s="4"/>
      <c r="C371" s="4"/>
      <c r="D371" s="4"/>
      <c r="E371" s="4"/>
      <c r="F371" s="4"/>
      <c r="G371" s="4"/>
      <c r="H371" s="4"/>
      <c r="I371" s="5">
        <f t="shared" si="5"/>
        <v>0</v>
      </c>
      <c r="K371" s="4" t="s">
        <v>1</v>
      </c>
      <c r="L371" s="5">
        <f>SUM(D370:D377)</f>
        <v>0</v>
      </c>
      <c r="N371" s="9"/>
      <c r="O371" s="5"/>
    </row>
    <row r="372" spans="1:15" ht="15">
      <c r="A372" s="9"/>
      <c r="B372" s="4"/>
      <c r="C372" s="4"/>
      <c r="D372" s="4"/>
      <c r="E372" s="4"/>
      <c r="F372" s="4"/>
      <c r="G372" s="4"/>
      <c r="H372" s="4"/>
      <c r="I372" s="5">
        <f t="shared" si="5"/>
        <v>0</v>
      </c>
      <c r="K372" s="4" t="s">
        <v>2</v>
      </c>
      <c r="L372" s="5">
        <f>SUM(E370:E377)</f>
        <v>0</v>
      </c>
      <c r="N372" s="9"/>
      <c r="O372" s="5"/>
    </row>
    <row r="373" spans="1:15" ht="15">
      <c r="A373" s="9"/>
      <c r="B373" s="4"/>
      <c r="C373" s="4"/>
      <c r="D373" s="4"/>
      <c r="E373" s="4"/>
      <c r="F373" s="4"/>
      <c r="G373" s="4"/>
      <c r="H373" s="4"/>
      <c r="I373" s="5">
        <f t="shared" si="5"/>
        <v>0</v>
      </c>
      <c r="K373" s="4" t="s">
        <v>4</v>
      </c>
      <c r="L373" s="5">
        <f>SUM(F370:F377)</f>
        <v>0</v>
      </c>
      <c r="N373" s="9"/>
      <c r="O373" s="5"/>
    </row>
    <row r="374" spans="1:15" ht="15">
      <c r="A374" s="9"/>
      <c r="B374" s="4"/>
      <c r="C374" s="4"/>
      <c r="D374" s="4"/>
      <c r="E374" s="4"/>
      <c r="F374" s="4"/>
      <c r="G374" s="4"/>
      <c r="H374" s="4"/>
      <c r="I374" s="5">
        <f t="shared" si="5"/>
        <v>0</v>
      </c>
      <c r="K374" s="4" t="s">
        <v>5</v>
      </c>
      <c r="L374" s="5">
        <f>SUM(G370:G377)</f>
        <v>0</v>
      </c>
      <c r="N374" s="9"/>
      <c r="O374" s="5"/>
    </row>
    <row r="375" spans="1:15" ht="15">
      <c r="A375" s="9"/>
      <c r="B375" s="4"/>
      <c r="C375" s="4"/>
      <c r="D375" s="4"/>
      <c r="E375" s="4"/>
      <c r="F375" s="4"/>
      <c r="G375" s="4"/>
      <c r="H375" s="4"/>
      <c r="I375" s="5">
        <f t="shared" si="5"/>
        <v>0</v>
      </c>
      <c r="K375" s="4" t="s">
        <v>6</v>
      </c>
      <c r="L375" s="5">
        <f>SUM(H370:H377)</f>
        <v>0</v>
      </c>
      <c r="N375" s="9"/>
      <c r="O375" s="5"/>
    </row>
    <row r="376" spans="1:15" ht="15">
      <c r="A376" s="9"/>
      <c r="B376" s="4"/>
      <c r="C376" s="4"/>
      <c r="D376" s="4"/>
      <c r="E376" s="4"/>
      <c r="F376" s="4"/>
      <c r="G376" s="4"/>
      <c r="H376" s="4"/>
      <c r="I376" s="5">
        <f t="shared" si="5"/>
        <v>0</v>
      </c>
      <c r="K376" s="5"/>
      <c r="L376" s="5"/>
      <c r="N376" s="9"/>
      <c r="O376" s="5"/>
    </row>
    <row r="377" spans="1:15" ht="15">
      <c r="A377" s="9"/>
      <c r="B377" s="4"/>
      <c r="C377" s="4"/>
      <c r="D377" s="4"/>
      <c r="E377" s="4"/>
      <c r="F377" s="4"/>
      <c r="G377" s="4"/>
      <c r="H377" s="4"/>
      <c r="I377" s="5">
        <f t="shared" si="5"/>
        <v>0</v>
      </c>
      <c r="K377" s="4"/>
      <c r="L377" s="5"/>
      <c r="N377" s="9"/>
      <c r="O377" s="5"/>
    </row>
    <row r="378" spans="1:15" ht="15">
      <c r="A378" s="8"/>
      <c r="B378" s="8"/>
      <c r="C378" s="8"/>
      <c r="D378" s="8"/>
      <c r="E378" s="8"/>
      <c r="F378" s="8"/>
      <c r="G378" s="8"/>
      <c r="H378" s="8"/>
      <c r="I378" s="7">
        <f t="shared" si="5"/>
        <v>0</v>
      </c>
      <c r="K378" s="8" t="s">
        <v>0</v>
      </c>
      <c r="L378" s="7">
        <f>SUM(C378:C385)</f>
        <v>0</v>
      </c>
      <c r="N378" s="6">
        <f>A378</f>
        <v>0</v>
      </c>
      <c r="O378" s="7">
        <f>SUM(L378:L383)</f>
        <v>0</v>
      </c>
    </row>
    <row r="379" spans="1:15" ht="15">
      <c r="A379" s="8"/>
      <c r="B379" s="8"/>
      <c r="C379" s="8"/>
      <c r="D379" s="8"/>
      <c r="E379" s="8"/>
      <c r="F379" s="8"/>
      <c r="G379" s="8"/>
      <c r="H379" s="8"/>
      <c r="I379" s="7">
        <f t="shared" si="5"/>
        <v>0</v>
      </c>
      <c r="K379" s="8" t="s">
        <v>1</v>
      </c>
      <c r="L379" s="7">
        <f>SUM(D378:D385)</f>
        <v>0</v>
      </c>
      <c r="N379" s="6"/>
      <c r="O379" s="7"/>
    </row>
    <row r="380" spans="1:15" ht="15">
      <c r="A380" s="8"/>
      <c r="B380" s="8"/>
      <c r="C380" s="8"/>
      <c r="D380" s="8"/>
      <c r="E380" s="8"/>
      <c r="F380" s="8"/>
      <c r="G380" s="8"/>
      <c r="H380" s="8"/>
      <c r="I380" s="7">
        <f t="shared" si="5"/>
        <v>0</v>
      </c>
      <c r="K380" s="8" t="s">
        <v>2</v>
      </c>
      <c r="L380" s="7">
        <f>SUM(E378:E385)</f>
        <v>0</v>
      </c>
      <c r="N380" s="6"/>
      <c r="O380" s="7"/>
    </row>
    <row r="381" spans="1:15" ht="15">
      <c r="A381" s="8"/>
      <c r="B381" s="8"/>
      <c r="C381" s="8"/>
      <c r="D381" s="8"/>
      <c r="E381" s="8"/>
      <c r="F381" s="8"/>
      <c r="G381" s="8"/>
      <c r="H381" s="8"/>
      <c r="I381" s="7">
        <f t="shared" si="5"/>
        <v>0</v>
      </c>
      <c r="K381" s="8" t="s">
        <v>4</v>
      </c>
      <c r="L381" s="7">
        <f>SUM(F378:F385)</f>
        <v>0</v>
      </c>
      <c r="N381" s="6"/>
      <c r="O381" s="7"/>
    </row>
    <row r="382" spans="1:15" ht="15">
      <c r="A382" s="8"/>
      <c r="B382" s="8"/>
      <c r="C382" s="8"/>
      <c r="D382" s="8"/>
      <c r="E382" s="8"/>
      <c r="F382" s="8"/>
      <c r="G382" s="8"/>
      <c r="H382" s="8"/>
      <c r="I382" s="7">
        <f t="shared" si="5"/>
        <v>0</v>
      </c>
      <c r="K382" s="8" t="s">
        <v>5</v>
      </c>
      <c r="L382" s="7">
        <f>SUM(G378:G385)</f>
        <v>0</v>
      </c>
      <c r="N382" s="6"/>
      <c r="O382" s="7"/>
    </row>
    <row r="383" spans="1:15" ht="15">
      <c r="A383" s="8"/>
      <c r="B383" s="8"/>
      <c r="C383" s="8"/>
      <c r="D383" s="8"/>
      <c r="E383" s="8"/>
      <c r="F383" s="8"/>
      <c r="G383" s="8"/>
      <c r="H383" s="8"/>
      <c r="I383" s="7">
        <f t="shared" si="5"/>
        <v>0</v>
      </c>
      <c r="K383" s="8" t="s">
        <v>6</v>
      </c>
      <c r="L383" s="7">
        <f>SUM(H378:H385)</f>
        <v>0</v>
      </c>
      <c r="N383" s="6"/>
      <c r="O383" s="7"/>
    </row>
    <row r="384" spans="1:15" ht="15">
      <c r="A384" s="8"/>
      <c r="B384" s="8"/>
      <c r="C384" s="8"/>
      <c r="D384" s="8"/>
      <c r="E384" s="8"/>
      <c r="F384" s="8"/>
      <c r="G384" s="8"/>
      <c r="H384" s="8"/>
      <c r="I384" s="7">
        <f t="shared" si="5"/>
        <v>0</v>
      </c>
      <c r="K384" s="8"/>
      <c r="L384" s="7"/>
      <c r="N384" s="6"/>
      <c r="O384" s="7"/>
    </row>
    <row r="385" spans="1:15" ht="15">
      <c r="A385" s="8"/>
      <c r="B385" s="8"/>
      <c r="C385" s="8"/>
      <c r="D385" s="8"/>
      <c r="E385" s="8"/>
      <c r="F385" s="8"/>
      <c r="G385" s="8"/>
      <c r="H385" s="8"/>
      <c r="I385" s="7">
        <f t="shared" si="5"/>
        <v>0</v>
      </c>
      <c r="K385" s="8"/>
      <c r="L385" s="7"/>
      <c r="N385" s="6"/>
      <c r="O385" s="7"/>
    </row>
    <row r="386" spans="1:15" ht="15">
      <c r="A386" s="4"/>
      <c r="B386" s="4"/>
      <c r="C386" s="4"/>
      <c r="D386" s="4"/>
      <c r="E386" s="4"/>
      <c r="F386" s="4"/>
      <c r="G386" s="4"/>
      <c r="H386" s="4"/>
      <c r="I386" s="5">
        <f aca="true" t="shared" si="6" ref="I386:I449">SUM(C386:H386)</f>
        <v>0</v>
      </c>
      <c r="K386" s="4" t="s">
        <v>0</v>
      </c>
      <c r="L386" s="5">
        <f>SUM(C386:C393)</f>
        <v>0</v>
      </c>
      <c r="N386" s="9">
        <f>A386</f>
        <v>0</v>
      </c>
      <c r="O386" s="5">
        <f>SUM(L386:L391)</f>
        <v>0</v>
      </c>
    </row>
    <row r="387" spans="1:15" ht="15">
      <c r="A387" s="9"/>
      <c r="B387" s="4"/>
      <c r="C387" s="4"/>
      <c r="D387" s="4"/>
      <c r="E387" s="4"/>
      <c r="F387" s="4"/>
      <c r="G387" s="4"/>
      <c r="H387" s="4"/>
      <c r="I387" s="5">
        <f t="shared" si="6"/>
        <v>0</v>
      </c>
      <c r="K387" s="4" t="s">
        <v>1</v>
      </c>
      <c r="L387" s="5">
        <f>SUM(D386:D393)</f>
        <v>0</v>
      </c>
      <c r="N387" s="9"/>
      <c r="O387" s="5"/>
    </row>
    <row r="388" spans="1:15" ht="15">
      <c r="A388" s="9"/>
      <c r="B388" s="4"/>
      <c r="C388" s="4"/>
      <c r="D388" s="4"/>
      <c r="E388" s="4"/>
      <c r="F388" s="4"/>
      <c r="G388" s="4"/>
      <c r="H388" s="4"/>
      <c r="I388" s="5">
        <f t="shared" si="6"/>
        <v>0</v>
      </c>
      <c r="K388" s="4" t="s">
        <v>2</v>
      </c>
      <c r="L388" s="5">
        <f>SUM(E386:E393)</f>
        <v>0</v>
      </c>
      <c r="N388" s="9"/>
      <c r="O388" s="5"/>
    </row>
    <row r="389" spans="1:15" ht="15">
      <c r="A389" s="9"/>
      <c r="B389" s="4"/>
      <c r="C389" s="4"/>
      <c r="D389" s="4"/>
      <c r="E389" s="4"/>
      <c r="F389" s="4"/>
      <c r="G389" s="4"/>
      <c r="H389" s="4"/>
      <c r="I389" s="5">
        <f t="shared" si="6"/>
        <v>0</v>
      </c>
      <c r="K389" s="4" t="s">
        <v>4</v>
      </c>
      <c r="L389" s="5">
        <f>SUM(F386:F393)</f>
        <v>0</v>
      </c>
      <c r="N389" s="9"/>
      <c r="O389" s="5"/>
    </row>
    <row r="390" spans="1:15" ht="15">
      <c r="A390" s="9"/>
      <c r="B390" s="4"/>
      <c r="C390" s="4"/>
      <c r="D390" s="4"/>
      <c r="E390" s="4"/>
      <c r="F390" s="4"/>
      <c r="G390" s="4"/>
      <c r="H390" s="4"/>
      <c r="I390" s="5">
        <f t="shared" si="6"/>
        <v>0</v>
      </c>
      <c r="K390" s="4" t="s">
        <v>5</v>
      </c>
      <c r="L390" s="5">
        <f>SUM(G386:G393)</f>
        <v>0</v>
      </c>
      <c r="N390" s="9"/>
      <c r="O390" s="5"/>
    </row>
    <row r="391" spans="1:15" ht="15">
      <c r="A391" s="9"/>
      <c r="B391" s="4"/>
      <c r="C391" s="4"/>
      <c r="D391" s="4"/>
      <c r="E391" s="4"/>
      <c r="F391" s="4"/>
      <c r="G391" s="4"/>
      <c r="H391" s="4"/>
      <c r="I391" s="5">
        <f t="shared" si="6"/>
        <v>0</v>
      </c>
      <c r="K391" s="4" t="s">
        <v>6</v>
      </c>
      <c r="L391" s="5">
        <f>SUM(H386:H393)</f>
        <v>0</v>
      </c>
      <c r="N391" s="9"/>
      <c r="O391" s="5"/>
    </row>
    <row r="392" spans="1:15" ht="15">
      <c r="A392" s="9"/>
      <c r="B392" s="4"/>
      <c r="C392" s="4"/>
      <c r="D392" s="4"/>
      <c r="E392" s="4"/>
      <c r="F392" s="4"/>
      <c r="G392" s="4"/>
      <c r="H392" s="4"/>
      <c r="I392" s="5">
        <f t="shared" si="6"/>
        <v>0</v>
      </c>
      <c r="K392" s="5"/>
      <c r="L392" s="5"/>
      <c r="N392" s="9"/>
      <c r="O392" s="5"/>
    </row>
    <row r="393" spans="1:15" ht="15">
      <c r="A393" s="9"/>
      <c r="B393" s="4"/>
      <c r="C393" s="4"/>
      <c r="D393" s="4"/>
      <c r="E393" s="4"/>
      <c r="F393" s="4"/>
      <c r="G393" s="4"/>
      <c r="H393" s="4"/>
      <c r="I393" s="5">
        <f t="shared" si="6"/>
        <v>0</v>
      </c>
      <c r="K393" s="4"/>
      <c r="L393" s="5"/>
      <c r="N393" s="9"/>
      <c r="O393" s="5"/>
    </row>
    <row r="394" spans="1:15" ht="15">
      <c r="A394" s="8"/>
      <c r="B394" s="8"/>
      <c r="C394" s="8"/>
      <c r="D394" s="8"/>
      <c r="E394" s="8"/>
      <c r="F394" s="8"/>
      <c r="G394" s="8"/>
      <c r="H394" s="8"/>
      <c r="I394" s="7">
        <f t="shared" si="6"/>
        <v>0</v>
      </c>
      <c r="K394" s="8" t="s">
        <v>0</v>
      </c>
      <c r="L394" s="7">
        <f>SUM(C394:C401)</f>
        <v>0</v>
      </c>
      <c r="N394" s="6">
        <f>A394</f>
        <v>0</v>
      </c>
      <c r="O394" s="7">
        <f>SUM(L394:L399)</f>
        <v>0</v>
      </c>
    </row>
    <row r="395" spans="1:15" ht="15">
      <c r="A395" s="8"/>
      <c r="B395" s="8"/>
      <c r="C395" s="8"/>
      <c r="D395" s="8"/>
      <c r="E395" s="8"/>
      <c r="F395" s="8"/>
      <c r="G395" s="8"/>
      <c r="H395" s="8"/>
      <c r="I395" s="7">
        <f t="shared" si="6"/>
        <v>0</v>
      </c>
      <c r="K395" s="8" t="s">
        <v>1</v>
      </c>
      <c r="L395" s="7">
        <f>SUM(D394:D401)</f>
        <v>0</v>
      </c>
      <c r="N395" s="6"/>
      <c r="O395" s="7"/>
    </row>
    <row r="396" spans="1:15" ht="15">
      <c r="A396" s="8"/>
      <c r="B396" s="8"/>
      <c r="C396" s="8"/>
      <c r="D396" s="8"/>
      <c r="E396" s="8"/>
      <c r="F396" s="8"/>
      <c r="G396" s="8"/>
      <c r="H396" s="8"/>
      <c r="I396" s="7">
        <f t="shared" si="6"/>
        <v>0</v>
      </c>
      <c r="K396" s="8" t="s">
        <v>2</v>
      </c>
      <c r="L396" s="7">
        <f>SUM(E394:E401)</f>
        <v>0</v>
      </c>
      <c r="N396" s="6"/>
      <c r="O396" s="7"/>
    </row>
    <row r="397" spans="1:15" ht="15">
      <c r="A397" s="8"/>
      <c r="B397" s="8"/>
      <c r="C397" s="8"/>
      <c r="D397" s="8"/>
      <c r="E397" s="8"/>
      <c r="F397" s="8"/>
      <c r="G397" s="8"/>
      <c r="H397" s="8"/>
      <c r="I397" s="7">
        <f t="shared" si="6"/>
        <v>0</v>
      </c>
      <c r="K397" s="8" t="s">
        <v>4</v>
      </c>
      <c r="L397" s="7">
        <f>SUM(F394:F401)</f>
        <v>0</v>
      </c>
      <c r="N397" s="6"/>
      <c r="O397" s="7"/>
    </row>
    <row r="398" spans="1:15" ht="15">
      <c r="A398" s="8"/>
      <c r="B398" s="8"/>
      <c r="C398" s="8"/>
      <c r="D398" s="8"/>
      <c r="E398" s="8"/>
      <c r="F398" s="8"/>
      <c r="G398" s="8"/>
      <c r="H398" s="8"/>
      <c r="I398" s="7">
        <f t="shared" si="6"/>
        <v>0</v>
      </c>
      <c r="K398" s="8" t="s">
        <v>5</v>
      </c>
      <c r="L398" s="7">
        <f>SUM(G394:G401)</f>
        <v>0</v>
      </c>
      <c r="N398" s="6"/>
      <c r="O398" s="7"/>
    </row>
    <row r="399" spans="1:15" ht="15">
      <c r="A399" s="8"/>
      <c r="B399" s="8"/>
      <c r="C399" s="8"/>
      <c r="D399" s="8"/>
      <c r="E399" s="8"/>
      <c r="F399" s="8"/>
      <c r="G399" s="8"/>
      <c r="H399" s="8"/>
      <c r="I399" s="7">
        <f t="shared" si="6"/>
        <v>0</v>
      </c>
      <c r="K399" s="8" t="s">
        <v>6</v>
      </c>
      <c r="L399" s="7">
        <f>SUM(H394:H401)</f>
        <v>0</v>
      </c>
      <c r="N399" s="6"/>
      <c r="O399" s="7"/>
    </row>
    <row r="400" spans="1:15" ht="15">
      <c r="A400" s="8"/>
      <c r="B400" s="8"/>
      <c r="C400" s="8"/>
      <c r="D400" s="8"/>
      <c r="E400" s="8"/>
      <c r="F400" s="8"/>
      <c r="G400" s="8"/>
      <c r="H400" s="8"/>
      <c r="I400" s="7">
        <f t="shared" si="6"/>
        <v>0</v>
      </c>
      <c r="K400" s="8"/>
      <c r="L400" s="7"/>
      <c r="N400" s="6"/>
      <c r="O400" s="7"/>
    </row>
    <row r="401" spans="1:15" ht="15">
      <c r="A401" s="8"/>
      <c r="B401" s="8"/>
      <c r="C401" s="8"/>
      <c r="D401" s="8"/>
      <c r="E401" s="8"/>
      <c r="F401" s="8"/>
      <c r="G401" s="8"/>
      <c r="H401" s="8"/>
      <c r="I401" s="7">
        <f t="shared" si="6"/>
        <v>0</v>
      </c>
      <c r="K401" s="8"/>
      <c r="L401" s="7"/>
      <c r="N401" s="6"/>
      <c r="O401" s="7"/>
    </row>
    <row r="402" spans="1:15" ht="15">
      <c r="A402" s="4"/>
      <c r="B402" s="4"/>
      <c r="C402" s="4"/>
      <c r="D402" s="4"/>
      <c r="E402" s="4"/>
      <c r="F402" s="4"/>
      <c r="G402" s="4"/>
      <c r="H402" s="4"/>
      <c r="I402" s="5">
        <f t="shared" si="6"/>
        <v>0</v>
      </c>
      <c r="K402" s="4" t="s">
        <v>0</v>
      </c>
      <c r="L402" s="5">
        <f>SUM(C402:C409)</f>
        <v>0</v>
      </c>
      <c r="N402" s="9">
        <f>A402</f>
        <v>0</v>
      </c>
      <c r="O402" s="5">
        <f>SUM(L402:L407)</f>
        <v>0</v>
      </c>
    </row>
    <row r="403" spans="1:15" ht="15">
      <c r="A403" s="9"/>
      <c r="B403" s="4"/>
      <c r="C403" s="4"/>
      <c r="D403" s="4"/>
      <c r="E403" s="4"/>
      <c r="F403" s="4"/>
      <c r="G403" s="4"/>
      <c r="H403" s="4"/>
      <c r="I403" s="5">
        <f t="shared" si="6"/>
        <v>0</v>
      </c>
      <c r="K403" s="4" t="s">
        <v>1</v>
      </c>
      <c r="L403" s="5">
        <f>SUM(D402:D409)</f>
        <v>0</v>
      </c>
      <c r="N403" s="9"/>
      <c r="O403" s="5"/>
    </row>
    <row r="404" spans="1:15" ht="15">
      <c r="A404" s="9"/>
      <c r="B404" s="4"/>
      <c r="C404" s="4"/>
      <c r="D404" s="4"/>
      <c r="E404" s="4"/>
      <c r="F404" s="4"/>
      <c r="G404" s="4"/>
      <c r="H404" s="4"/>
      <c r="I404" s="5">
        <f t="shared" si="6"/>
        <v>0</v>
      </c>
      <c r="K404" s="4" t="s">
        <v>2</v>
      </c>
      <c r="L404" s="5">
        <f>SUM(E402:E409)</f>
        <v>0</v>
      </c>
      <c r="N404" s="9"/>
      <c r="O404" s="5"/>
    </row>
    <row r="405" spans="1:15" ht="15">
      <c r="A405" s="9"/>
      <c r="B405" s="4"/>
      <c r="C405" s="4"/>
      <c r="D405" s="4"/>
      <c r="E405" s="4"/>
      <c r="F405" s="4"/>
      <c r="G405" s="4"/>
      <c r="H405" s="4"/>
      <c r="I405" s="5">
        <f t="shared" si="6"/>
        <v>0</v>
      </c>
      <c r="K405" s="4" t="s">
        <v>4</v>
      </c>
      <c r="L405" s="5">
        <f>SUM(F402:F409)</f>
        <v>0</v>
      </c>
      <c r="N405" s="9"/>
      <c r="O405" s="5"/>
    </row>
    <row r="406" spans="1:15" ht="15">
      <c r="A406" s="9"/>
      <c r="B406" s="4"/>
      <c r="C406" s="4"/>
      <c r="D406" s="4"/>
      <c r="E406" s="4"/>
      <c r="F406" s="4"/>
      <c r="G406" s="4"/>
      <c r="H406" s="4"/>
      <c r="I406" s="5">
        <f t="shared" si="6"/>
        <v>0</v>
      </c>
      <c r="K406" s="4" t="s">
        <v>5</v>
      </c>
      <c r="L406" s="5">
        <f>SUM(G402:G409)</f>
        <v>0</v>
      </c>
      <c r="N406" s="9"/>
      <c r="O406" s="5"/>
    </row>
    <row r="407" spans="1:15" ht="15">
      <c r="A407" s="9"/>
      <c r="B407" s="4"/>
      <c r="C407" s="4"/>
      <c r="D407" s="4"/>
      <c r="E407" s="4"/>
      <c r="F407" s="4"/>
      <c r="G407" s="4"/>
      <c r="H407" s="4"/>
      <c r="I407" s="5">
        <f t="shared" si="6"/>
        <v>0</v>
      </c>
      <c r="K407" s="4" t="s">
        <v>6</v>
      </c>
      <c r="L407" s="5">
        <f>SUM(H402:H409)</f>
        <v>0</v>
      </c>
      <c r="N407" s="9"/>
      <c r="O407" s="5"/>
    </row>
    <row r="408" spans="1:15" ht="15">
      <c r="A408" s="9"/>
      <c r="B408" s="4"/>
      <c r="C408" s="4"/>
      <c r="D408" s="4"/>
      <c r="E408" s="4"/>
      <c r="F408" s="4"/>
      <c r="G408" s="4"/>
      <c r="H408" s="4"/>
      <c r="I408" s="5">
        <f t="shared" si="6"/>
        <v>0</v>
      </c>
      <c r="K408" s="5"/>
      <c r="L408" s="5"/>
      <c r="N408" s="9"/>
      <c r="O408" s="5"/>
    </row>
    <row r="409" spans="1:15" ht="15">
      <c r="A409" s="9"/>
      <c r="B409" s="4"/>
      <c r="C409" s="4"/>
      <c r="D409" s="4"/>
      <c r="E409" s="4"/>
      <c r="F409" s="4"/>
      <c r="G409" s="4"/>
      <c r="H409" s="4"/>
      <c r="I409" s="5">
        <f t="shared" si="6"/>
        <v>0</v>
      </c>
      <c r="K409" s="4"/>
      <c r="L409" s="5"/>
      <c r="N409" s="9"/>
      <c r="O409" s="5"/>
    </row>
    <row r="410" spans="1:15" ht="15">
      <c r="A410" s="8"/>
      <c r="B410" s="8"/>
      <c r="C410" s="8"/>
      <c r="D410" s="8"/>
      <c r="E410" s="8"/>
      <c r="F410" s="8"/>
      <c r="G410" s="8"/>
      <c r="H410" s="8"/>
      <c r="I410" s="7">
        <f t="shared" si="6"/>
        <v>0</v>
      </c>
      <c r="K410" s="8" t="s">
        <v>0</v>
      </c>
      <c r="L410" s="7">
        <f>SUM(C410:C417)</f>
        <v>0</v>
      </c>
      <c r="N410" s="6">
        <f>A410</f>
        <v>0</v>
      </c>
      <c r="O410" s="7">
        <f>SUM(L410:L415)</f>
        <v>0</v>
      </c>
    </row>
    <row r="411" spans="1:15" ht="15">
      <c r="A411" s="8"/>
      <c r="B411" s="8"/>
      <c r="C411" s="8"/>
      <c r="D411" s="8"/>
      <c r="E411" s="8"/>
      <c r="F411" s="8"/>
      <c r="G411" s="8"/>
      <c r="H411" s="8"/>
      <c r="I411" s="7">
        <f t="shared" si="6"/>
        <v>0</v>
      </c>
      <c r="K411" s="8" t="s">
        <v>1</v>
      </c>
      <c r="L411" s="7">
        <f>SUM(D410:D417)</f>
        <v>0</v>
      </c>
      <c r="N411" s="6"/>
      <c r="O411" s="7"/>
    </row>
    <row r="412" spans="1:15" ht="15">
      <c r="A412" s="8"/>
      <c r="B412" s="8"/>
      <c r="C412" s="8"/>
      <c r="D412" s="8"/>
      <c r="E412" s="8"/>
      <c r="F412" s="8"/>
      <c r="G412" s="8"/>
      <c r="H412" s="8"/>
      <c r="I412" s="7">
        <f t="shared" si="6"/>
        <v>0</v>
      </c>
      <c r="K412" s="8" t="s">
        <v>2</v>
      </c>
      <c r="L412" s="7">
        <f>SUM(E410:E417)</f>
        <v>0</v>
      </c>
      <c r="N412" s="6"/>
      <c r="O412" s="7"/>
    </row>
    <row r="413" spans="1:15" ht="15">
      <c r="A413" s="8"/>
      <c r="B413" s="8"/>
      <c r="C413" s="8"/>
      <c r="D413" s="8"/>
      <c r="E413" s="8"/>
      <c r="F413" s="8"/>
      <c r="G413" s="8"/>
      <c r="H413" s="8"/>
      <c r="I413" s="7">
        <f t="shared" si="6"/>
        <v>0</v>
      </c>
      <c r="K413" s="8" t="s">
        <v>4</v>
      </c>
      <c r="L413" s="7">
        <f>SUM(F410:F417)</f>
        <v>0</v>
      </c>
      <c r="N413" s="6"/>
      <c r="O413" s="7"/>
    </row>
    <row r="414" spans="1:15" ht="15">
      <c r="A414" s="8"/>
      <c r="B414" s="8"/>
      <c r="C414" s="8"/>
      <c r="D414" s="8"/>
      <c r="E414" s="8"/>
      <c r="F414" s="8"/>
      <c r="G414" s="8"/>
      <c r="H414" s="8"/>
      <c r="I414" s="7">
        <f t="shared" si="6"/>
        <v>0</v>
      </c>
      <c r="K414" s="8" t="s">
        <v>5</v>
      </c>
      <c r="L414" s="7">
        <f>SUM(G410:G417)</f>
        <v>0</v>
      </c>
      <c r="N414" s="6"/>
      <c r="O414" s="7"/>
    </row>
    <row r="415" spans="1:15" ht="15">
      <c r="A415" s="8"/>
      <c r="B415" s="8"/>
      <c r="C415" s="8"/>
      <c r="D415" s="8"/>
      <c r="E415" s="8"/>
      <c r="F415" s="8"/>
      <c r="G415" s="8"/>
      <c r="H415" s="8"/>
      <c r="I415" s="7">
        <f t="shared" si="6"/>
        <v>0</v>
      </c>
      <c r="K415" s="8" t="s">
        <v>6</v>
      </c>
      <c r="L415" s="7">
        <f>SUM(H410:H417)</f>
        <v>0</v>
      </c>
      <c r="N415" s="6"/>
      <c r="O415" s="7"/>
    </row>
    <row r="416" spans="1:15" ht="15">
      <c r="A416" s="8"/>
      <c r="B416" s="8"/>
      <c r="C416" s="8"/>
      <c r="D416" s="8"/>
      <c r="E416" s="8"/>
      <c r="F416" s="8"/>
      <c r="G416" s="8"/>
      <c r="H416" s="8"/>
      <c r="I416" s="7">
        <f t="shared" si="6"/>
        <v>0</v>
      </c>
      <c r="K416" s="8"/>
      <c r="L416" s="7"/>
      <c r="N416" s="6"/>
      <c r="O416" s="7"/>
    </row>
    <row r="417" spans="1:15" ht="15">
      <c r="A417" s="8"/>
      <c r="B417" s="8"/>
      <c r="C417" s="8"/>
      <c r="D417" s="8"/>
      <c r="E417" s="8"/>
      <c r="F417" s="8"/>
      <c r="G417" s="8"/>
      <c r="H417" s="8"/>
      <c r="I417" s="7">
        <f t="shared" si="6"/>
        <v>0</v>
      </c>
      <c r="K417" s="8"/>
      <c r="L417" s="7"/>
      <c r="N417" s="6"/>
      <c r="O417" s="7"/>
    </row>
    <row r="418" spans="1:15" ht="15">
      <c r="A418" s="4"/>
      <c r="B418" s="4"/>
      <c r="C418" s="4"/>
      <c r="D418" s="4"/>
      <c r="E418" s="4"/>
      <c r="F418" s="4"/>
      <c r="G418" s="4"/>
      <c r="H418" s="4"/>
      <c r="I418" s="5">
        <f t="shared" si="6"/>
        <v>0</v>
      </c>
      <c r="K418" s="4" t="s">
        <v>0</v>
      </c>
      <c r="L418" s="5">
        <f>SUM(C418:C425)</f>
        <v>0</v>
      </c>
      <c r="N418" s="9">
        <f>A418</f>
        <v>0</v>
      </c>
      <c r="O418" s="5">
        <f>SUM(L418:L423)</f>
        <v>0</v>
      </c>
    </row>
    <row r="419" spans="1:15" ht="15">
      <c r="A419" s="9"/>
      <c r="B419" s="4"/>
      <c r="C419" s="4"/>
      <c r="D419" s="4"/>
      <c r="E419" s="4"/>
      <c r="F419" s="4"/>
      <c r="G419" s="4"/>
      <c r="H419" s="4"/>
      <c r="I419" s="5">
        <f t="shared" si="6"/>
        <v>0</v>
      </c>
      <c r="K419" s="4" t="s">
        <v>1</v>
      </c>
      <c r="L419" s="5">
        <f>SUM(D418:D425)</f>
        <v>0</v>
      </c>
      <c r="N419" s="9"/>
      <c r="O419" s="5"/>
    </row>
    <row r="420" spans="1:15" ht="15">
      <c r="A420" s="9"/>
      <c r="B420" s="4"/>
      <c r="C420" s="4"/>
      <c r="D420" s="4"/>
      <c r="E420" s="4"/>
      <c r="F420" s="4"/>
      <c r="G420" s="4"/>
      <c r="H420" s="4"/>
      <c r="I420" s="5">
        <f t="shared" si="6"/>
        <v>0</v>
      </c>
      <c r="K420" s="4" t="s">
        <v>2</v>
      </c>
      <c r="L420" s="5">
        <f>SUM(E418:E425)</f>
        <v>0</v>
      </c>
      <c r="N420" s="9"/>
      <c r="O420" s="5"/>
    </row>
    <row r="421" spans="1:15" ht="15">
      <c r="A421" s="9"/>
      <c r="B421" s="4"/>
      <c r="C421" s="4"/>
      <c r="D421" s="4"/>
      <c r="E421" s="4"/>
      <c r="F421" s="4"/>
      <c r="G421" s="4"/>
      <c r="H421" s="4"/>
      <c r="I421" s="5">
        <f t="shared" si="6"/>
        <v>0</v>
      </c>
      <c r="K421" s="4" t="s">
        <v>4</v>
      </c>
      <c r="L421" s="5">
        <f>SUM(F418:F425)</f>
        <v>0</v>
      </c>
      <c r="N421" s="9"/>
      <c r="O421" s="5"/>
    </row>
    <row r="422" spans="1:15" ht="15">
      <c r="A422" s="9"/>
      <c r="B422" s="4"/>
      <c r="C422" s="4"/>
      <c r="D422" s="4"/>
      <c r="E422" s="4"/>
      <c r="F422" s="4"/>
      <c r="G422" s="4"/>
      <c r="H422" s="4"/>
      <c r="I422" s="5">
        <f t="shared" si="6"/>
        <v>0</v>
      </c>
      <c r="K422" s="4" t="s">
        <v>5</v>
      </c>
      <c r="L422" s="5">
        <f>SUM(G418:G425)</f>
        <v>0</v>
      </c>
      <c r="N422" s="9"/>
      <c r="O422" s="5"/>
    </row>
    <row r="423" spans="1:15" ht="15">
      <c r="A423" s="9"/>
      <c r="B423" s="4"/>
      <c r="C423" s="4"/>
      <c r="D423" s="4"/>
      <c r="E423" s="4"/>
      <c r="F423" s="4"/>
      <c r="G423" s="4"/>
      <c r="H423" s="4"/>
      <c r="I423" s="5">
        <f t="shared" si="6"/>
        <v>0</v>
      </c>
      <c r="K423" s="4" t="s">
        <v>6</v>
      </c>
      <c r="L423" s="5">
        <f>SUM(H418:H425)</f>
        <v>0</v>
      </c>
      <c r="N423" s="9"/>
      <c r="O423" s="5"/>
    </row>
    <row r="424" spans="1:15" ht="15">
      <c r="A424" s="9"/>
      <c r="B424" s="4"/>
      <c r="C424" s="4"/>
      <c r="D424" s="4"/>
      <c r="E424" s="4"/>
      <c r="F424" s="4"/>
      <c r="G424" s="4"/>
      <c r="H424" s="4"/>
      <c r="I424" s="5">
        <f t="shared" si="6"/>
        <v>0</v>
      </c>
      <c r="K424" s="5"/>
      <c r="L424" s="5"/>
      <c r="N424" s="9"/>
      <c r="O424" s="5"/>
    </row>
    <row r="425" spans="1:15" ht="15">
      <c r="A425" s="9"/>
      <c r="B425" s="4"/>
      <c r="C425" s="4"/>
      <c r="D425" s="4"/>
      <c r="E425" s="4"/>
      <c r="F425" s="4"/>
      <c r="G425" s="4"/>
      <c r="H425" s="4"/>
      <c r="I425" s="5">
        <f t="shared" si="6"/>
        <v>0</v>
      </c>
      <c r="K425" s="4"/>
      <c r="L425" s="5"/>
      <c r="N425" s="9"/>
      <c r="O425" s="5"/>
    </row>
    <row r="426" spans="1:15" ht="15">
      <c r="A426" s="8"/>
      <c r="B426" s="8"/>
      <c r="C426" s="8"/>
      <c r="D426" s="8"/>
      <c r="E426" s="8"/>
      <c r="F426" s="8"/>
      <c r="G426" s="8"/>
      <c r="H426" s="8"/>
      <c r="I426" s="7">
        <f t="shared" si="6"/>
        <v>0</v>
      </c>
      <c r="K426" s="8" t="s">
        <v>0</v>
      </c>
      <c r="L426" s="7">
        <f>SUM(C426:C433)</f>
        <v>0</v>
      </c>
      <c r="N426" s="6">
        <f>A426</f>
        <v>0</v>
      </c>
      <c r="O426" s="7">
        <f>SUM(L426:L431)</f>
        <v>0</v>
      </c>
    </row>
    <row r="427" spans="1:15" ht="15">
      <c r="A427" s="8"/>
      <c r="B427" s="8"/>
      <c r="C427" s="8"/>
      <c r="D427" s="8"/>
      <c r="E427" s="8"/>
      <c r="F427" s="8"/>
      <c r="G427" s="8"/>
      <c r="H427" s="8"/>
      <c r="I427" s="7">
        <f t="shared" si="6"/>
        <v>0</v>
      </c>
      <c r="K427" s="8" t="s">
        <v>1</v>
      </c>
      <c r="L427" s="7">
        <f>SUM(D426:D433)</f>
        <v>0</v>
      </c>
      <c r="N427" s="6"/>
      <c r="O427" s="7"/>
    </row>
    <row r="428" spans="1:15" ht="15">
      <c r="A428" s="8"/>
      <c r="B428" s="8"/>
      <c r="C428" s="8"/>
      <c r="D428" s="8"/>
      <c r="E428" s="8"/>
      <c r="F428" s="8"/>
      <c r="G428" s="8"/>
      <c r="H428" s="8"/>
      <c r="I428" s="7">
        <f t="shared" si="6"/>
        <v>0</v>
      </c>
      <c r="K428" s="8" t="s">
        <v>2</v>
      </c>
      <c r="L428" s="7">
        <f>SUM(E426:E433)</f>
        <v>0</v>
      </c>
      <c r="N428" s="6"/>
      <c r="O428" s="7"/>
    </row>
    <row r="429" spans="1:15" ht="15">
      <c r="A429" s="8"/>
      <c r="B429" s="8"/>
      <c r="C429" s="8"/>
      <c r="D429" s="8"/>
      <c r="E429" s="8"/>
      <c r="F429" s="8"/>
      <c r="G429" s="8"/>
      <c r="H429" s="8"/>
      <c r="I429" s="7">
        <f t="shared" si="6"/>
        <v>0</v>
      </c>
      <c r="K429" s="8" t="s">
        <v>4</v>
      </c>
      <c r="L429" s="7">
        <f>SUM(F426:F433)</f>
        <v>0</v>
      </c>
      <c r="N429" s="6"/>
      <c r="O429" s="7"/>
    </row>
    <row r="430" spans="1:15" ht="15">
      <c r="A430" s="8"/>
      <c r="B430" s="8"/>
      <c r="C430" s="8"/>
      <c r="D430" s="8"/>
      <c r="E430" s="8"/>
      <c r="F430" s="8"/>
      <c r="G430" s="8"/>
      <c r="H430" s="8"/>
      <c r="I430" s="7">
        <f t="shared" si="6"/>
        <v>0</v>
      </c>
      <c r="K430" s="8" t="s">
        <v>5</v>
      </c>
      <c r="L430" s="7">
        <f>SUM(G426:G433)</f>
        <v>0</v>
      </c>
      <c r="N430" s="6"/>
      <c r="O430" s="7"/>
    </row>
    <row r="431" spans="1:15" ht="15">
      <c r="A431" s="8"/>
      <c r="B431" s="8"/>
      <c r="C431" s="8"/>
      <c r="D431" s="8"/>
      <c r="E431" s="8"/>
      <c r="F431" s="8"/>
      <c r="G431" s="8"/>
      <c r="H431" s="8"/>
      <c r="I431" s="7">
        <f t="shared" si="6"/>
        <v>0</v>
      </c>
      <c r="K431" s="8" t="s">
        <v>6</v>
      </c>
      <c r="L431" s="7">
        <f>SUM(H426:H433)</f>
        <v>0</v>
      </c>
      <c r="N431" s="6"/>
      <c r="O431" s="7"/>
    </row>
    <row r="432" spans="1:15" ht="15">
      <c r="A432" s="8"/>
      <c r="B432" s="8"/>
      <c r="C432" s="8"/>
      <c r="D432" s="8"/>
      <c r="E432" s="8"/>
      <c r="F432" s="8"/>
      <c r="G432" s="8"/>
      <c r="H432" s="8"/>
      <c r="I432" s="7">
        <f t="shared" si="6"/>
        <v>0</v>
      </c>
      <c r="K432" s="8"/>
      <c r="L432" s="7"/>
      <c r="N432" s="6"/>
      <c r="O432" s="7"/>
    </row>
    <row r="433" spans="1:15" ht="15">
      <c r="A433" s="8"/>
      <c r="B433" s="8"/>
      <c r="C433" s="8"/>
      <c r="D433" s="8"/>
      <c r="E433" s="8"/>
      <c r="F433" s="8"/>
      <c r="G433" s="8"/>
      <c r="H433" s="8"/>
      <c r="I433" s="7">
        <f t="shared" si="6"/>
        <v>0</v>
      </c>
      <c r="K433" s="8"/>
      <c r="L433" s="7"/>
      <c r="N433" s="6"/>
      <c r="O433" s="7"/>
    </row>
    <row r="434" spans="1:15" ht="15">
      <c r="A434" s="4"/>
      <c r="B434" s="4"/>
      <c r="C434" s="4"/>
      <c r="D434" s="4"/>
      <c r="E434" s="4"/>
      <c r="F434" s="4"/>
      <c r="G434" s="4"/>
      <c r="H434" s="4"/>
      <c r="I434" s="5">
        <f t="shared" si="6"/>
        <v>0</v>
      </c>
      <c r="K434" s="4" t="s">
        <v>0</v>
      </c>
      <c r="L434" s="5">
        <f>SUM(C434:C441)</f>
        <v>0</v>
      </c>
      <c r="N434" s="9">
        <f>A434</f>
        <v>0</v>
      </c>
      <c r="O434" s="5">
        <f>SUM(L434:L439)</f>
        <v>0</v>
      </c>
    </row>
    <row r="435" spans="1:15" ht="15">
      <c r="A435" s="9"/>
      <c r="B435" s="4"/>
      <c r="C435" s="4"/>
      <c r="D435" s="4"/>
      <c r="E435" s="4"/>
      <c r="F435" s="4"/>
      <c r="G435" s="4"/>
      <c r="H435" s="4"/>
      <c r="I435" s="5">
        <f t="shared" si="6"/>
        <v>0</v>
      </c>
      <c r="K435" s="4" t="s">
        <v>1</v>
      </c>
      <c r="L435" s="5">
        <f>SUM(D434:D441)</f>
        <v>0</v>
      </c>
      <c r="N435" s="9"/>
      <c r="O435" s="5"/>
    </row>
    <row r="436" spans="1:15" ht="15">
      <c r="A436" s="9"/>
      <c r="B436" s="4"/>
      <c r="C436" s="4"/>
      <c r="D436" s="4"/>
      <c r="E436" s="4"/>
      <c r="F436" s="4"/>
      <c r="G436" s="4"/>
      <c r="H436" s="4"/>
      <c r="I436" s="5">
        <f t="shared" si="6"/>
        <v>0</v>
      </c>
      <c r="K436" s="4" t="s">
        <v>2</v>
      </c>
      <c r="L436" s="5">
        <f>SUM(E434:E441)</f>
        <v>0</v>
      </c>
      <c r="N436" s="9"/>
      <c r="O436" s="5"/>
    </row>
    <row r="437" spans="1:15" ht="15">
      <c r="A437" s="9"/>
      <c r="B437" s="4"/>
      <c r="C437" s="4"/>
      <c r="D437" s="4"/>
      <c r="E437" s="4"/>
      <c r="F437" s="4"/>
      <c r="G437" s="4"/>
      <c r="H437" s="4"/>
      <c r="I437" s="5">
        <f t="shared" si="6"/>
        <v>0</v>
      </c>
      <c r="K437" s="4" t="s">
        <v>4</v>
      </c>
      <c r="L437" s="5">
        <f>SUM(F434:F441)</f>
        <v>0</v>
      </c>
      <c r="N437" s="9"/>
      <c r="O437" s="5"/>
    </row>
    <row r="438" spans="1:15" ht="15">
      <c r="A438" s="9"/>
      <c r="B438" s="4"/>
      <c r="C438" s="4"/>
      <c r="D438" s="4"/>
      <c r="E438" s="4"/>
      <c r="F438" s="4"/>
      <c r="G438" s="4"/>
      <c r="H438" s="4"/>
      <c r="I438" s="5">
        <f t="shared" si="6"/>
        <v>0</v>
      </c>
      <c r="K438" s="4" t="s">
        <v>5</v>
      </c>
      <c r="L438" s="5">
        <f>SUM(G434:G441)</f>
        <v>0</v>
      </c>
      <c r="N438" s="9"/>
      <c r="O438" s="5"/>
    </row>
    <row r="439" spans="1:15" ht="15">
      <c r="A439" s="9"/>
      <c r="B439" s="4"/>
      <c r="C439" s="4"/>
      <c r="D439" s="4"/>
      <c r="E439" s="4"/>
      <c r="F439" s="4"/>
      <c r="G439" s="4"/>
      <c r="H439" s="4"/>
      <c r="I439" s="5">
        <f t="shared" si="6"/>
        <v>0</v>
      </c>
      <c r="K439" s="4" t="s">
        <v>6</v>
      </c>
      <c r="L439" s="5">
        <f>SUM(H434:H441)</f>
        <v>0</v>
      </c>
      <c r="N439" s="9"/>
      <c r="O439" s="5"/>
    </row>
    <row r="440" spans="1:15" ht="15">
      <c r="A440" s="9"/>
      <c r="B440" s="4"/>
      <c r="C440" s="4"/>
      <c r="D440" s="4"/>
      <c r="E440" s="4"/>
      <c r="F440" s="4"/>
      <c r="G440" s="4"/>
      <c r="H440" s="4"/>
      <c r="I440" s="5">
        <f t="shared" si="6"/>
        <v>0</v>
      </c>
      <c r="K440" s="5"/>
      <c r="L440" s="5"/>
      <c r="N440" s="9"/>
      <c r="O440" s="5"/>
    </row>
    <row r="441" spans="1:15" ht="15">
      <c r="A441" s="9"/>
      <c r="B441" s="4"/>
      <c r="C441" s="4"/>
      <c r="D441" s="4"/>
      <c r="E441" s="4"/>
      <c r="F441" s="4"/>
      <c r="G441" s="4"/>
      <c r="H441" s="4"/>
      <c r="I441" s="5">
        <f t="shared" si="6"/>
        <v>0</v>
      </c>
      <c r="K441" s="4"/>
      <c r="L441" s="5"/>
      <c r="N441" s="9"/>
      <c r="O441" s="5"/>
    </row>
    <row r="442" spans="1:15" ht="15">
      <c r="A442" s="8"/>
      <c r="B442" s="8"/>
      <c r="C442" s="8"/>
      <c r="D442" s="8"/>
      <c r="E442" s="8"/>
      <c r="F442" s="8"/>
      <c r="G442" s="8"/>
      <c r="H442" s="8"/>
      <c r="I442" s="7">
        <f t="shared" si="6"/>
        <v>0</v>
      </c>
      <c r="K442" s="8" t="s">
        <v>0</v>
      </c>
      <c r="L442" s="7">
        <f>SUM(C442:C449)</f>
        <v>0</v>
      </c>
      <c r="N442" s="6">
        <f>A442</f>
        <v>0</v>
      </c>
      <c r="O442" s="7">
        <f>SUM(L442:L447)</f>
        <v>0</v>
      </c>
    </row>
    <row r="443" spans="1:15" ht="15">
      <c r="A443" s="8"/>
      <c r="B443" s="8"/>
      <c r="C443" s="8"/>
      <c r="D443" s="8"/>
      <c r="E443" s="8"/>
      <c r="F443" s="8"/>
      <c r="G443" s="8"/>
      <c r="H443" s="8"/>
      <c r="I443" s="7">
        <f t="shared" si="6"/>
        <v>0</v>
      </c>
      <c r="K443" s="8" t="s">
        <v>1</v>
      </c>
      <c r="L443" s="7">
        <f>SUM(D442:D449)</f>
        <v>0</v>
      </c>
      <c r="N443" s="6"/>
      <c r="O443" s="7"/>
    </row>
    <row r="444" spans="1:15" ht="15">
      <c r="A444" s="8"/>
      <c r="B444" s="8"/>
      <c r="C444" s="8"/>
      <c r="D444" s="8"/>
      <c r="E444" s="8"/>
      <c r="F444" s="8"/>
      <c r="G444" s="8"/>
      <c r="H444" s="8"/>
      <c r="I444" s="7">
        <f t="shared" si="6"/>
        <v>0</v>
      </c>
      <c r="K444" s="8" t="s">
        <v>2</v>
      </c>
      <c r="L444" s="7">
        <f>SUM(E442:E449)</f>
        <v>0</v>
      </c>
      <c r="N444" s="6"/>
      <c r="O444" s="7"/>
    </row>
    <row r="445" spans="1:15" ht="15">
      <c r="A445" s="8"/>
      <c r="B445" s="8"/>
      <c r="C445" s="8"/>
      <c r="D445" s="8"/>
      <c r="E445" s="8"/>
      <c r="F445" s="8"/>
      <c r="G445" s="8"/>
      <c r="H445" s="8"/>
      <c r="I445" s="7">
        <f t="shared" si="6"/>
        <v>0</v>
      </c>
      <c r="K445" s="8" t="s">
        <v>4</v>
      </c>
      <c r="L445" s="7">
        <f>SUM(F442:F449)</f>
        <v>0</v>
      </c>
      <c r="N445" s="6"/>
      <c r="O445" s="7"/>
    </row>
    <row r="446" spans="1:15" ht="15">
      <c r="A446" s="8"/>
      <c r="B446" s="8"/>
      <c r="C446" s="8"/>
      <c r="D446" s="8"/>
      <c r="E446" s="8"/>
      <c r="F446" s="8"/>
      <c r="G446" s="8"/>
      <c r="H446" s="8"/>
      <c r="I446" s="7">
        <f t="shared" si="6"/>
        <v>0</v>
      </c>
      <c r="K446" s="8" t="s">
        <v>5</v>
      </c>
      <c r="L446" s="7">
        <f>SUM(G442:G449)</f>
        <v>0</v>
      </c>
      <c r="N446" s="6"/>
      <c r="O446" s="7"/>
    </row>
    <row r="447" spans="1:15" ht="15">
      <c r="A447" s="8"/>
      <c r="B447" s="8"/>
      <c r="C447" s="8"/>
      <c r="D447" s="8"/>
      <c r="E447" s="8"/>
      <c r="F447" s="8"/>
      <c r="G447" s="8"/>
      <c r="H447" s="8"/>
      <c r="I447" s="7">
        <f t="shared" si="6"/>
        <v>0</v>
      </c>
      <c r="K447" s="8" t="s">
        <v>6</v>
      </c>
      <c r="L447" s="7">
        <f>SUM(H442:H449)</f>
        <v>0</v>
      </c>
      <c r="N447" s="6"/>
      <c r="O447" s="7"/>
    </row>
    <row r="448" spans="1:15" ht="15">
      <c r="A448" s="8"/>
      <c r="B448" s="8"/>
      <c r="C448" s="8"/>
      <c r="D448" s="8"/>
      <c r="E448" s="8"/>
      <c r="F448" s="8"/>
      <c r="G448" s="8"/>
      <c r="H448" s="8"/>
      <c r="I448" s="7">
        <f t="shared" si="6"/>
        <v>0</v>
      </c>
      <c r="K448" s="8"/>
      <c r="L448" s="7"/>
      <c r="N448" s="6"/>
      <c r="O448" s="7"/>
    </row>
    <row r="449" spans="1:15" ht="15">
      <c r="A449" s="8"/>
      <c r="B449" s="8"/>
      <c r="C449" s="8"/>
      <c r="D449" s="8"/>
      <c r="E449" s="8"/>
      <c r="F449" s="8"/>
      <c r="G449" s="8"/>
      <c r="H449" s="8"/>
      <c r="I449" s="7">
        <f t="shared" si="6"/>
        <v>0</v>
      </c>
      <c r="K449" s="8"/>
      <c r="L449" s="7"/>
      <c r="N449" s="6"/>
      <c r="O449" s="7"/>
    </row>
    <row r="450" spans="1:15" ht="15">
      <c r="A450" s="4"/>
      <c r="B450" s="4"/>
      <c r="C450" s="4"/>
      <c r="D450" s="4"/>
      <c r="E450" s="4"/>
      <c r="F450" s="4"/>
      <c r="G450" s="4"/>
      <c r="H450" s="4"/>
      <c r="I450" s="5">
        <f aca="true" t="shared" si="7" ref="I450:I481">SUM(C450:H450)</f>
        <v>0</v>
      </c>
      <c r="K450" s="4" t="s">
        <v>0</v>
      </c>
      <c r="L450" s="5">
        <f>SUM(C450:C457)</f>
        <v>0</v>
      </c>
      <c r="N450" s="9">
        <f>A450</f>
        <v>0</v>
      </c>
      <c r="O450" s="5">
        <f>SUM(L450:L455)</f>
        <v>0</v>
      </c>
    </row>
    <row r="451" spans="1:15" ht="15">
      <c r="A451" s="9"/>
      <c r="B451" s="4"/>
      <c r="C451" s="4"/>
      <c r="D451" s="4"/>
      <c r="E451" s="4"/>
      <c r="F451" s="4"/>
      <c r="G451" s="4"/>
      <c r="H451" s="4"/>
      <c r="I451" s="5">
        <f t="shared" si="7"/>
        <v>0</v>
      </c>
      <c r="K451" s="4" t="s">
        <v>1</v>
      </c>
      <c r="L451" s="5">
        <f>SUM(D450:D457)</f>
        <v>0</v>
      </c>
      <c r="N451" s="9"/>
      <c r="O451" s="5"/>
    </row>
    <row r="452" spans="1:15" ht="15">
      <c r="A452" s="9"/>
      <c r="B452" s="4"/>
      <c r="C452" s="4"/>
      <c r="D452" s="4"/>
      <c r="E452" s="4"/>
      <c r="F452" s="4"/>
      <c r="G452" s="4"/>
      <c r="H452" s="4"/>
      <c r="I452" s="5">
        <f t="shared" si="7"/>
        <v>0</v>
      </c>
      <c r="K452" s="4" t="s">
        <v>2</v>
      </c>
      <c r="L452" s="5">
        <f>SUM(E450:E457)</f>
        <v>0</v>
      </c>
      <c r="N452" s="9"/>
      <c r="O452" s="5"/>
    </row>
    <row r="453" spans="1:15" ht="15">
      <c r="A453" s="9"/>
      <c r="B453" s="4"/>
      <c r="C453" s="4"/>
      <c r="D453" s="4"/>
      <c r="E453" s="4"/>
      <c r="F453" s="4"/>
      <c r="G453" s="4"/>
      <c r="H453" s="4"/>
      <c r="I453" s="5">
        <f t="shared" si="7"/>
        <v>0</v>
      </c>
      <c r="K453" s="4" t="s">
        <v>4</v>
      </c>
      <c r="L453" s="5">
        <f>SUM(F450:F457)</f>
        <v>0</v>
      </c>
      <c r="N453" s="9"/>
      <c r="O453" s="5"/>
    </row>
    <row r="454" spans="1:15" ht="15">
      <c r="A454" s="9"/>
      <c r="B454" s="4"/>
      <c r="C454" s="4"/>
      <c r="D454" s="4"/>
      <c r="E454" s="4"/>
      <c r="F454" s="4"/>
      <c r="G454" s="4"/>
      <c r="H454" s="4"/>
      <c r="I454" s="5">
        <f t="shared" si="7"/>
        <v>0</v>
      </c>
      <c r="K454" s="4" t="s">
        <v>5</v>
      </c>
      <c r="L454" s="5">
        <f>SUM(G450:G457)</f>
        <v>0</v>
      </c>
      <c r="N454" s="9"/>
      <c r="O454" s="5"/>
    </row>
    <row r="455" spans="1:15" ht="15">
      <c r="A455" s="9"/>
      <c r="B455" s="4"/>
      <c r="C455" s="4"/>
      <c r="D455" s="4"/>
      <c r="E455" s="4"/>
      <c r="F455" s="4"/>
      <c r="G455" s="4"/>
      <c r="H455" s="4"/>
      <c r="I455" s="5">
        <f t="shared" si="7"/>
        <v>0</v>
      </c>
      <c r="K455" s="4" t="s">
        <v>6</v>
      </c>
      <c r="L455" s="5">
        <f>SUM(H450:H457)</f>
        <v>0</v>
      </c>
      <c r="N455" s="9"/>
      <c r="O455" s="5"/>
    </row>
    <row r="456" spans="1:15" ht="15">
      <c r="A456" s="9"/>
      <c r="B456" s="4"/>
      <c r="C456" s="4"/>
      <c r="D456" s="4"/>
      <c r="E456" s="4"/>
      <c r="F456" s="4"/>
      <c r="G456" s="4"/>
      <c r="H456" s="4"/>
      <c r="I456" s="5">
        <f t="shared" si="7"/>
        <v>0</v>
      </c>
      <c r="K456" s="5"/>
      <c r="L456" s="5"/>
      <c r="N456" s="9"/>
      <c r="O456" s="5"/>
    </row>
    <row r="457" spans="1:15" ht="15">
      <c r="A457" s="9"/>
      <c r="B457" s="4"/>
      <c r="C457" s="4"/>
      <c r="D457" s="4"/>
      <c r="E457" s="4"/>
      <c r="F457" s="4"/>
      <c r="G457" s="4"/>
      <c r="H457" s="4"/>
      <c r="I457" s="5">
        <f t="shared" si="7"/>
        <v>0</v>
      </c>
      <c r="K457" s="4"/>
      <c r="L457" s="5"/>
      <c r="N457" s="9"/>
      <c r="O457" s="5"/>
    </row>
    <row r="458" spans="1:15" ht="15">
      <c r="A458" s="8"/>
      <c r="B458" s="8"/>
      <c r="C458" s="8"/>
      <c r="D458" s="8"/>
      <c r="E458" s="8"/>
      <c r="F458" s="8"/>
      <c r="G458" s="8"/>
      <c r="H458" s="8"/>
      <c r="I458" s="7">
        <f t="shared" si="7"/>
        <v>0</v>
      </c>
      <c r="K458" s="8" t="s">
        <v>0</v>
      </c>
      <c r="L458" s="7">
        <f>SUM(C458:C465)</f>
        <v>0</v>
      </c>
      <c r="N458" s="6">
        <f>A458</f>
        <v>0</v>
      </c>
      <c r="O458" s="7">
        <f>SUM(L458:L463)</f>
        <v>0</v>
      </c>
    </row>
    <row r="459" spans="1:15" ht="15">
      <c r="A459" s="8"/>
      <c r="B459" s="8"/>
      <c r="C459" s="8"/>
      <c r="D459" s="8"/>
      <c r="E459" s="8"/>
      <c r="F459" s="8"/>
      <c r="G459" s="8"/>
      <c r="H459" s="8"/>
      <c r="I459" s="7">
        <f t="shared" si="7"/>
        <v>0</v>
      </c>
      <c r="K459" s="8" t="s">
        <v>1</v>
      </c>
      <c r="L459" s="7">
        <f>SUM(D458:D465)</f>
        <v>0</v>
      </c>
      <c r="N459" s="6"/>
      <c r="O459" s="7"/>
    </row>
    <row r="460" spans="1:15" ht="15">
      <c r="A460" s="8"/>
      <c r="B460" s="8"/>
      <c r="C460" s="8"/>
      <c r="D460" s="8"/>
      <c r="E460" s="8"/>
      <c r="F460" s="8"/>
      <c r="G460" s="8"/>
      <c r="H460" s="8"/>
      <c r="I460" s="7">
        <f t="shared" si="7"/>
        <v>0</v>
      </c>
      <c r="K460" s="8" t="s">
        <v>2</v>
      </c>
      <c r="L460" s="7">
        <f>SUM(E458:E465)</f>
        <v>0</v>
      </c>
      <c r="N460" s="6"/>
      <c r="O460" s="7"/>
    </row>
    <row r="461" spans="1:15" ht="15">
      <c r="A461" s="8"/>
      <c r="B461" s="8"/>
      <c r="C461" s="8"/>
      <c r="D461" s="8"/>
      <c r="E461" s="8"/>
      <c r="F461" s="8"/>
      <c r="G461" s="8"/>
      <c r="H461" s="8"/>
      <c r="I461" s="7">
        <f t="shared" si="7"/>
        <v>0</v>
      </c>
      <c r="K461" s="8" t="s">
        <v>4</v>
      </c>
      <c r="L461" s="7">
        <f>SUM(F458:F465)</f>
        <v>0</v>
      </c>
      <c r="N461" s="6"/>
      <c r="O461" s="7"/>
    </row>
    <row r="462" spans="1:15" ht="15">
      <c r="A462" s="8"/>
      <c r="B462" s="8"/>
      <c r="C462" s="8"/>
      <c r="D462" s="8"/>
      <c r="E462" s="8"/>
      <c r="F462" s="8"/>
      <c r="G462" s="8"/>
      <c r="H462" s="8"/>
      <c r="I462" s="7">
        <f t="shared" si="7"/>
        <v>0</v>
      </c>
      <c r="K462" s="8" t="s">
        <v>5</v>
      </c>
      <c r="L462" s="7">
        <f>SUM(G458:G465)</f>
        <v>0</v>
      </c>
      <c r="N462" s="6"/>
      <c r="O462" s="7"/>
    </row>
    <row r="463" spans="1:15" ht="15">
      <c r="A463" s="8"/>
      <c r="B463" s="8"/>
      <c r="C463" s="8"/>
      <c r="D463" s="8"/>
      <c r="E463" s="8"/>
      <c r="F463" s="8"/>
      <c r="G463" s="8"/>
      <c r="H463" s="8"/>
      <c r="I463" s="7">
        <f t="shared" si="7"/>
        <v>0</v>
      </c>
      <c r="K463" s="8" t="s">
        <v>6</v>
      </c>
      <c r="L463" s="7">
        <f>SUM(H458:H465)</f>
        <v>0</v>
      </c>
      <c r="N463" s="6"/>
      <c r="O463" s="7"/>
    </row>
    <row r="464" spans="1:15" ht="15">
      <c r="A464" s="8"/>
      <c r="B464" s="8"/>
      <c r="C464" s="8"/>
      <c r="D464" s="8"/>
      <c r="E464" s="8"/>
      <c r="F464" s="8"/>
      <c r="G464" s="8"/>
      <c r="H464" s="8"/>
      <c r="I464" s="7">
        <f t="shared" si="7"/>
        <v>0</v>
      </c>
      <c r="K464" s="8"/>
      <c r="L464" s="7"/>
      <c r="N464" s="6"/>
      <c r="O464" s="7"/>
    </row>
    <row r="465" spans="1:15" ht="15">
      <c r="A465" s="8"/>
      <c r="B465" s="8"/>
      <c r="C465" s="8"/>
      <c r="D465" s="8"/>
      <c r="E465" s="8"/>
      <c r="F465" s="8"/>
      <c r="G465" s="8"/>
      <c r="H465" s="8"/>
      <c r="I465" s="7">
        <f t="shared" si="7"/>
        <v>0</v>
      </c>
      <c r="K465" s="8"/>
      <c r="L465" s="7"/>
      <c r="N465" s="6"/>
      <c r="O465" s="7"/>
    </row>
    <row r="466" spans="1:15" ht="15">
      <c r="A466" s="4"/>
      <c r="B466" s="4"/>
      <c r="C466" s="4"/>
      <c r="D466" s="4"/>
      <c r="E466" s="4"/>
      <c r="F466" s="4"/>
      <c r="G466" s="4"/>
      <c r="H466" s="4"/>
      <c r="I466" s="5">
        <f t="shared" si="7"/>
        <v>0</v>
      </c>
      <c r="K466" s="4" t="s">
        <v>0</v>
      </c>
      <c r="L466" s="5">
        <f>SUM(C466:C473)</f>
        <v>0</v>
      </c>
      <c r="N466" s="9">
        <f>A466</f>
        <v>0</v>
      </c>
      <c r="O466" s="5">
        <f>SUM(L466:L471)</f>
        <v>0</v>
      </c>
    </row>
    <row r="467" spans="1:15" ht="15">
      <c r="A467" s="9"/>
      <c r="B467" s="4"/>
      <c r="C467" s="4"/>
      <c r="D467" s="4"/>
      <c r="E467" s="4"/>
      <c r="F467" s="4"/>
      <c r="G467" s="4"/>
      <c r="H467" s="4"/>
      <c r="I467" s="5">
        <f t="shared" si="7"/>
        <v>0</v>
      </c>
      <c r="K467" s="4" t="s">
        <v>1</v>
      </c>
      <c r="L467" s="5">
        <f>SUM(D466:D473)</f>
        <v>0</v>
      </c>
      <c r="N467" s="9"/>
      <c r="O467" s="5"/>
    </row>
    <row r="468" spans="1:15" ht="15">
      <c r="A468" s="9"/>
      <c r="B468" s="4"/>
      <c r="C468" s="4"/>
      <c r="D468" s="4"/>
      <c r="E468" s="4"/>
      <c r="F468" s="4"/>
      <c r="G468" s="4"/>
      <c r="H468" s="4"/>
      <c r="I468" s="5">
        <f t="shared" si="7"/>
        <v>0</v>
      </c>
      <c r="K468" s="4" t="s">
        <v>2</v>
      </c>
      <c r="L468" s="5">
        <f>SUM(E466:E473)</f>
        <v>0</v>
      </c>
      <c r="N468" s="9"/>
      <c r="O468" s="5"/>
    </row>
    <row r="469" spans="1:15" ht="15">
      <c r="A469" s="9"/>
      <c r="B469" s="4"/>
      <c r="C469" s="4"/>
      <c r="D469" s="4"/>
      <c r="E469" s="4"/>
      <c r="F469" s="4"/>
      <c r="G469" s="4"/>
      <c r="H469" s="4"/>
      <c r="I469" s="5">
        <f t="shared" si="7"/>
        <v>0</v>
      </c>
      <c r="K469" s="4" t="s">
        <v>4</v>
      </c>
      <c r="L469" s="5">
        <f>SUM(F466:F473)</f>
        <v>0</v>
      </c>
      <c r="N469" s="9"/>
      <c r="O469" s="5"/>
    </row>
    <row r="470" spans="1:15" ht="15">
      <c r="A470" s="9"/>
      <c r="B470" s="4"/>
      <c r="C470" s="4"/>
      <c r="D470" s="4"/>
      <c r="E470" s="4"/>
      <c r="F470" s="4"/>
      <c r="G470" s="4"/>
      <c r="H470" s="4"/>
      <c r="I470" s="5">
        <f t="shared" si="7"/>
        <v>0</v>
      </c>
      <c r="K470" s="4" t="s">
        <v>5</v>
      </c>
      <c r="L470" s="5">
        <f>SUM(G466:G473)</f>
        <v>0</v>
      </c>
      <c r="N470" s="9"/>
      <c r="O470" s="5"/>
    </row>
    <row r="471" spans="1:15" ht="15">
      <c r="A471" s="9"/>
      <c r="B471" s="4"/>
      <c r="C471" s="4"/>
      <c r="D471" s="4"/>
      <c r="E471" s="4"/>
      <c r="F471" s="4"/>
      <c r="G471" s="4"/>
      <c r="H471" s="4"/>
      <c r="I471" s="5">
        <f t="shared" si="7"/>
        <v>0</v>
      </c>
      <c r="K471" s="4" t="s">
        <v>6</v>
      </c>
      <c r="L471" s="5">
        <f>SUM(H466:H473)</f>
        <v>0</v>
      </c>
      <c r="N471" s="9"/>
      <c r="O471" s="5"/>
    </row>
    <row r="472" spans="1:15" ht="15">
      <c r="A472" s="9"/>
      <c r="B472" s="4"/>
      <c r="C472" s="4"/>
      <c r="D472" s="4"/>
      <c r="E472" s="4"/>
      <c r="F472" s="4"/>
      <c r="G472" s="4"/>
      <c r="H472" s="4"/>
      <c r="I472" s="5">
        <f t="shared" si="7"/>
        <v>0</v>
      </c>
      <c r="K472" s="5"/>
      <c r="L472" s="5"/>
      <c r="N472" s="9"/>
      <c r="O472" s="5"/>
    </row>
    <row r="473" spans="1:15" ht="15">
      <c r="A473" s="9"/>
      <c r="B473" s="4"/>
      <c r="C473" s="4"/>
      <c r="D473" s="4"/>
      <c r="E473" s="4"/>
      <c r="F473" s="4"/>
      <c r="G473" s="4"/>
      <c r="H473" s="4"/>
      <c r="I473" s="5">
        <f t="shared" si="7"/>
        <v>0</v>
      </c>
      <c r="K473" s="4"/>
      <c r="L473" s="5"/>
      <c r="N473" s="9"/>
      <c r="O473" s="5"/>
    </row>
    <row r="474" spans="1:15" ht="15">
      <c r="A474" s="8"/>
      <c r="B474" s="8"/>
      <c r="C474" s="8"/>
      <c r="D474" s="8"/>
      <c r="E474" s="8"/>
      <c r="F474" s="8"/>
      <c r="G474" s="8"/>
      <c r="H474" s="8"/>
      <c r="I474" s="7">
        <f t="shared" si="7"/>
        <v>0</v>
      </c>
      <c r="K474" s="8" t="s">
        <v>0</v>
      </c>
      <c r="L474" s="7">
        <f>SUM(C474:C481)</f>
        <v>0</v>
      </c>
      <c r="N474" s="6">
        <f>A474</f>
        <v>0</v>
      </c>
      <c r="O474" s="7">
        <f>SUM(L474:L479)</f>
        <v>0</v>
      </c>
    </row>
    <row r="475" spans="1:15" ht="15">
      <c r="A475" s="8"/>
      <c r="B475" s="8"/>
      <c r="C475" s="8"/>
      <c r="D475" s="8"/>
      <c r="E475" s="8"/>
      <c r="F475" s="8"/>
      <c r="G475" s="8"/>
      <c r="H475" s="8"/>
      <c r="I475" s="7">
        <f t="shared" si="7"/>
        <v>0</v>
      </c>
      <c r="K475" s="8" t="s">
        <v>1</v>
      </c>
      <c r="L475" s="7">
        <f>SUM(D474:D481)</f>
        <v>0</v>
      </c>
      <c r="N475" s="6"/>
      <c r="O475" s="7"/>
    </row>
    <row r="476" spans="1:15" ht="15">
      <c r="A476" s="8"/>
      <c r="B476" s="8"/>
      <c r="C476" s="8"/>
      <c r="D476" s="8"/>
      <c r="E476" s="8"/>
      <c r="F476" s="8"/>
      <c r="G476" s="8"/>
      <c r="H476" s="8"/>
      <c r="I476" s="7">
        <f t="shared" si="7"/>
        <v>0</v>
      </c>
      <c r="K476" s="8" t="s">
        <v>2</v>
      </c>
      <c r="L476" s="7">
        <f>SUM(E474:E481)</f>
        <v>0</v>
      </c>
      <c r="N476" s="6"/>
      <c r="O476" s="7"/>
    </row>
    <row r="477" spans="1:15" ht="15">
      <c r="A477" s="8"/>
      <c r="B477" s="8"/>
      <c r="C477" s="8"/>
      <c r="D477" s="8"/>
      <c r="E477" s="8"/>
      <c r="F477" s="8"/>
      <c r="G477" s="8"/>
      <c r="H477" s="8"/>
      <c r="I477" s="7">
        <f t="shared" si="7"/>
        <v>0</v>
      </c>
      <c r="K477" s="8" t="s">
        <v>4</v>
      </c>
      <c r="L477" s="7">
        <f>SUM(F474:F481)</f>
        <v>0</v>
      </c>
      <c r="N477" s="6"/>
      <c r="O477" s="7"/>
    </row>
    <row r="478" spans="1:15" ht="15">
      <c r="A478" s="8"/>
      <c r="B478" s="8"/>
      <c r="C478" s="8"/>
      <c r="D478" s="8"/>
      <c r="E478" s="8"/>
      <c r="F478" s="8"/>
      <c r="G478" s="8"/>
      <c r="H478" s="8"/>
      <c r="I478" s="7">
        <f t="shared" si="7"/>
        <v>0</v>
      </c>
      <c r="K478" s="8" t="s">
        <v>5</v>
      </c>
      <c r="L478" s="7">
        <f>SUM(G474:G481)</f>
        <v>0</v>
      </c>
      <c r="N478" s="6"/>
      <c r="O478" s="7"/>
    </row>
    <row r="479" spans="1:15" ht="15">
      <c r="A479" s="8"/>
      <c r="B479" s="8"/>
      <c r="C479" s="8"/>
      <c r="D479" s="8"/>
      <c r="E479" s="8"/>
      <c r="F479" s="8"/>
      <c r="G479" s="8"/>
      <c r="H479" s="8"/>
      <c r="I479" s="7">
        <f t="shared" si="7"/>
        <v>0</v>
      </c>
      <c r="K479" s="8" t="s">
        <v>6</v>
      </c>
      <c r="L479" s="7">
        <f>SUM(H474:H481)</f>
        <v>0</v>
      </c>
      <c r="N479" s="6"/>
      <c r="O479" s="7"/>
    </row>
    <row r="480" spans="1:15" ht="15">
      <c r="A480" s="8"/>
      <c r="B480" s="8"/>
      <c r="C480" s="8"/>
      <c r="D480" s="8"/>
      <c r="E480" s="8"/>
      <c r="F480" s="8"/>
      <c r="G480" s="8"/>
      <c r="H480" s="8"/>
      <c r="I480" s="7">
        <f t="shared" si="7"/>
        <v>0</v>
      </c>
      <c r="K480" s="8"/>
      <c r="L480" s="7"/>
      <c r="N480" s="6"/>
      <c r="O480" s="7"/>
    </row>
    <row r="481" spans="1:15" ht="15">
      <c r="A481" s="8"/>
      <c r="B481" s="8"/>
      <c r="C481" s="8"/>
      <c r="D481" s="8"/>
      <c r="E481" s="8"/>
      <c r="F481" s="8"/>
      <c r="G481" s="8"/>
      <c r="H481" s="8"/>
      <c r="I481" s="7">
        <f t="shared" si="7"/>
        <v>0</v>
      </c>
      <c r="K481" s="8"/>
      <c r="L481" s="7"/>
      <c r="N481" s="6"/>
      <c r="O481" s="7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0"/>
  <sheetViews>
    <sheetView workbookViewId="0" topLeftCell="A22">
      <selection activeCell="A22" sqref="A22"/>
    </sheetView>
  </sheetViews>
  <sheetFormatPr defaultColWidth="22.7109375" defaultRowHeight="15"/>
  <cols>
    <col min="1" max="1" width="45.140625" style="0" bestFit="1" customWidth="1"/>
    <col min="2" max="2" width="22.8515625" style="0" bestFit="1" customWidth="1"/>
    <col min="3" max="8" width="7.57421875" style="0" bestFit="1" customWidth="1"/>
    <col min="9" max="9" width="15.7109375" style="0" bestFit="1" customWidth="1"/>
    <col min="10" max="10" width="14.57421875" style="0" bestFit="1" customWidth="1"/>
  </cols>
  <sheetData>
    <row r="1" spans="1:10" ht="15">
      <c r="A1" t="s">
        <v>8</v>
      </c>
      <c r="B1" t="s">
        <v>7</v>
      </c>
      <c r="C1" t="s">
        <v>0</v>
      </c>
      <c r="D1" t="s">
        <v>1</v>
      </c>
      <c r="E1" t="s">
        <v>2</v>
      </c>
      <c r="F1" t="s">
        <v>4</v>
      </c>
      <c r="G1" t="s">
        <v>5</v>
      </c>
      <c r="H1" t="s">
        <v>6</v>
      </c>
      <c r="I1" t="s">
        <v>10</v>
      </c>
      <c r="J1" t="s">
        <v>613</v>
      </c>
    </row>
    <row r="2" spans="1:9" ht="15">
      <c r="A2" t="s">
        <v>302</v>
      </c>
      <c r="B2" t="s">
        <v>308</v>
      </c>
      <c r="C2">
        <v>218</v>
      </c>
      <c r="D2">
        <v>248</v>
      </c>
      <c r="E2">
        <v>210</v>
      </c>
      <c r="F2">
        <v>180</v>
      </c>
      <c r="G2">
        <v>207</v>
      </c>
      <c r="H2">
        <v>248</v>
      </c>
      <c r="I2">
        <v>1311</v>
      </c>
    </row>
    <row r="3" spans="1:10" ht="15">
      <c r="A3" t="s">
        <v>230</v>
      </c>
      <c r="B3" t="s">
        <v>232</v>
      </c>
      <c r="C3">
        <v>196</v>
      </c>
      <c r="D3">
        <v>167</v>
      </c>
      <c r="E3">
        <v>241</v>
      </c>
      <c r="F3">
        <v>255</v>
      </c>
      <c r="G3">
        <v>219</v>
      </c>
      <c r="H3">
        <v>231</v>
      </c>
      <c r="I3">
        <v>1309</v>
      </c>
      <c r="J3">
        <v>-2</v>
      </c>
    </row>
    <row r="4" spans="1:10" ht="15">
      <c r="A4" t="s">
        <v>316</v>
      </c>
      <c r="B4" t="s">
        <v>317</v>
      </c>
      <c r="C4">
        <v>226</v>
      </c>
      <c r="D4">
        <v>203</v>
      </c>
      <c r="E4">
        <v>188</v>
      </c>
      <c r="F4">
        <v>268</v>
      </c>
      <c r="G4">
        <v>214</v>
      </c>
      <c r="H4">
        <v>188</v>
      </c>
      <c r="I4">
        <v>1287</v>
      </c>
      <c r="J4">
        <v>-24</v>
      </c>
    </row>
    <row r="5" spans="1:10" ht="15">
      <c r="A5" t="s">
        <v>96</v>
      </c>
      <c r="B5" t="s">
        <v>103</v>
      </c>
      <c r="C5">
        <v>185</v>
      </c>
      <c r="D5">
        <v>241</v>
      </c>
      <c r="E5">
        <v>237</v>
      </c>
      <c r="F5">
        <v>201</v>
      </c>
      <c r="G5">
        <v>177</v>
      </c>
      <c r="H5">
        <v>242</v>
      </c>
      <c r="I5">
        <v>1283</v>
      </c>
      <c r="J5">
        <v>-28</v>
      </c>
    </row>
    <row r="6" spans="1:10" ht="15">
      <c r="A6" t="s">
        <v>221</v>
      </c>
      <c r="B6" t="s">
        <v>228</v>
      </c>
      <c r="C6">
        <v>192</v>
      </c>
      <c r="D6">
        <v>235</v>
      </c>
      <c r="E6">
        <v>181</v>
      </c>
      <c r="F6">
        <v>170</v>
      </c>
      <c r="G6">
        <v>192</v>
      </c>
      <c r="H6">
        <v>268</v>
      </c>
      <c r="I6">
        <v>1238</v>
      </c>
      <c r="J6">
        <v>-73</v>
      </c>
    </row>
    <row r="7" spans="1:10" ht="15">
      <c r="A7" t="s">
        <v>255</v>
      </c>
      <c r="B7" t="s">
        <v>256</v>
      </c>
      <c r="C7">
        <v>159</v>
      </c>
      <c r="D7">
        <v>205</v>
      </c>
      <c r="E7">
        <v>279</v>
      </c>
      <c r="F7">
        <v>218</v>
      </c>
      <c r="G7">
        <v>200</v>
      </c>
      <c r="H7">
        <v>177</v>
      </c>
      <c r="I7">
        <v>1238</v>
      </c>
      <c r="J7">
        <v>-73</v>
      </c>
    </row>
    <row r="8" spans="1:10" ht="15">
      <c r="A8" t="s">
        <v>302</v>
      </c>
      <c r="B8" t="s">
        <v>307</v>
      </c>
      <c r="C8">
        <v>205</v>
      </c>
      <c r="D8">
        <v>246</v>
      </c>
      <c r="E8">
        <v>211</v>
      </c>
      <c r="F8">
        <v>209</v>
      </c>
      <c r="G8">
        <v>163</v>
      </c>
      <c r="H8">
        <v>202</v>
      </c>
      <c r="I8">
        <v>1236</v>
      </c>
      <c r="J8">
        <v>-75</v>
      </c>
    </row>
    <row r="9" spans="1:10" ht="15">
      <c r="A9" t="s">
        <v>647</v>
      </c>
      <c r="B9" t="s">
        <v>288</v>
      </c>
      <c r="C9">
        <v>220</v>
      </c>
      <c r="D9">
        <v>195</v>
      </c>
      <c r="E9">
        <v>191</v>
      </c>
      <c r="F9">
        <v>215</v>
      </c>
      <c r="G9">
        <v>202</v>
      </c>
      <c r="H9">
        <v>206</v>
      </c>
      <c r="I9">
        <v>1229</v>
      </c>
      <c r="J9">
        <v>-82</v>
      </c>
    </row>
    <row r="10" spans="1:10" ht="15">
      <c r="A10" t="s">
        <v>55</v>
      </c>
      <c r="B10" t="s">
        <v>57</v>
      </c>
      <c r="C10">
        <v>243</v>
      </c>
      <c r="D10">
        <v>187</v>
      </c>
      <c r="E10">
        <v>173</v>
      </c>
      <c r="F10">
        <v>205</v>
      </c>
      <c r="G10">
        <v>210</v>
      </c>
      <c r="H10">
        <v>205</v>
      </c>
      <c r="I10">
        <v>1223</v>
      </c>
      <c r="J10">
        <v>-88</v>
      </c>
    </row>
    <row r="11" spans="1:10" ht="15">
      <c r="A11" t="s">
        <v>96</v>
      </c>
      <c r="B11" t="s">
        <v>100</v>
      </c>
      <c r="C11">
        <v>231</v>
      </c>
      <c r="D11">
        <v>183</v>
      </c>
      <c r="E11">
        <v>159</v>
      </c>
      <c r="F11">
        <v>220</v>
      </c>
      <c r="G11">
        <v>207</v>
      </c>
      <c r="H11">
        <v>223</v>
      </c>
      <c r="I11">
        <v>1223</v>
      </c>
      <c r="J11">
        <v>-88</v>
      </c>
    </row>
    <row r="12" spans="1:10" ht="15">
      <c r="A12" t="s">
        <v>576</v>
      </c>
      <c r="B12" t="s">
        <v>186</v>
      </c>
      <c r="C12">
        <v>168</v>
      </c>
      <c r="D12">
        <v>215</v>
      </c>
      <c r="E12">
        <v>226</v>
      </c>
      <c r="F12">
        <v>186</v>
      </c>
      <c r="G12">
        <v>222</v>
      </c>
      <c r="H12">
        <v>203</v>
      </c>
      <c r="I12">
        <v>1220</v>
      </c>
      <c r="J12">
        <v>-91</v>
      </c>
    </row>
    <row r="13" spans="1:10" ht="15">
      <c r="A13" t="s">
        <v>12</v>
      </c>
      <c r="B13" t="s">
        <v>16</v>
      </c>
      <c r="C13">
        <v>169</v>
      </c>
      <c r="D13">
        <v>236</v>
      </c>
      <c r="E13">
        <v>215</v>
      </c>
      <c r="F13">
        <v>177</v>
      </c>
      <c r="G13">
        <v>201</v>
      </c>
      <c r="H13">
        <v>220</v>
      </c>
      <c r="I13">
        <v>1218</v>
      </c>
      <c r="J13">
        <v>-93</v>
      </c>
    </row>
    <row r="14" spans="1:10" ht="15">
      <c r="A14" t="s">
        <v>144</v>
      </c>
      <c r="B14" t="s">
        <v>146</v>
      </c>
      <c r="C14">
        <v>224</v>
      </c>
      <c r="D14">
        <v>137</v>
      </c>
      <c r="E14">
        <v>204</v>
      </c>
      <c r="F14">
        <v>180</v>
      </c>
      <c r="G14">
        <v>237</v>
      </c>
      <c r="H14">
        <v>230</v>
      </c>
      <c r="I14">
        <v>1212</v>
      </c>
      <c r="J14">
        <v>-99</v>
      </c>
    </row>
    <row r="15" spans="1:10" ht="15">
      <c r="A15" t="s">
        <v>71</v>
      </c>
      <c r="B15" t="s">
        <v>73</v>
      </c>
      <c r="C15">
        <v>195</v>
      </c>
      <c r="D15">
        <v>221</v>
      </c>
      <c r="E15">
        <v>212</v>
      </c>
      <c r="F15">
        <v>182</v>
      </c>
      <c r="G15">
        <v>222</v>
      </c>
      <c r="H15">
        <v>177</v>
      </c>
      <c r="I15">
        <v>1209</v>
      </c>
      <c r="J15">
        <v>-102</v>
      </c>
    </row>
    <row r="16" spans="1:10" ht="15">
      <c r="A16" t="s">
        <v>221</v>
      </c>
      <c r="B16" t="s">
        <v>223</v>
      </c>
      <c r="C16">
        <v>248</v>
      </c>
      <c r="D16">
        <v>201</v>
      </c>
      <c r="E16">
        <v>161</v>
      </c>
      <c r="F16">
        <v>218</v>
      </c>
      <c r="G16">
        <v>191</v>
      </c>
      <c r="H16">
        <v>187</v>
      </c>
      <c r="I16">
        <v>1206</v>
      </c>
      <c r="J16">
        <v>-105</v>
      </c>
    </row>
    <row r="17" spans="1:10" ht="15">
      <c r="A17" t="s">
        <v>126</v>
      </c>
      <c r="B17" t="s">
        <v>131</v>
      </c>
      <c r="C17">
        <v>189</v>
      </c>
      <c r="D17">
        <v>178</v>
      </c>
      <c r="E17">
        <v>165</v>
      </c>
      <c r="F17">
        <v>253</v>
      </c>
      <c r="G17">
        <v>214</v>
      </c>
      <c r="H17">
        <v>201</v>
      </c>
      <c r="I17">
        <v>1200</v>
      </c>
      <c r="J17">
        <v>-111</v>
      </c>
    </row>
    <row r="18" spans="1:10" ht="15">
      <c r="A18" t="s">
        <v>309</v>
      </c>
      <c r="B18" t="s">
        <v>311</v>
      </c>
      <c r="C18">
        <v>210</v>
      </c>
      <c r="D18">
        <v>199</v>
      </c>
      <c r="E18">
        <v>186</v>
      </c>
      <c r="F18">
        <v>183</v>
      </c>
      <c r="G18">
        <v>257</v>
      </c>
      <c r="H18">
        <v>165</v>
      </c>
      <c r="I18">
        <v>1200</v>
      </c>
      <c r="J18">
        <v>-111</v>
      </c>
    </row>
    <row r="19" spans="1:10" ht="15">
      <c r="A19" t="s">
        <v>325</v>
      </c>
      <c r="B19" t="s">
        <v>326</v>
      </c>
      <c r="C19">
        <v>168</v>
      </c>
      <c r="D19">
        <v>202</v>
      </c>
      <c r="E19">
        <v>164</v>
      </c>
      <c r="F19">
        <v>219</v>
      </c>
      <c r="G19">
        <v>187</v>
      </c>
      <c r="H19">
        <v>257</v>
      </c>
      <c r="I19">
        <v>1197</v>
      </c>
      <c r="J19">
        <v>-114</v>
      </c>
    </row>
    <row r="20" spans="1:10" ht="15">
      <c r="A20" t="s">
        <v>112</v>
      </c>
      <c r="B20" t="s">
        <v>113</v>
      </c>
      <c r="C20">
        <v>213</v>
      </c>
      <c r="D20">
        <v>179</v>
      </c>
      <c r="E20">
        <v>206</v>
      </c>
      <c r="F20">
        <v>199</v>
      </c>
      <c r="G20">
        <v>219</v>
      </c>
      <c r="H20">
        <v>180</v>
      </c>
      <c r="I20">
        <v>1196</v>
      </c>
      <c r="J20">
        <v>-115</v>
      </c>
    </row>
    <row r="21" spans="1:10" ht="15">
      <c r="A21" t="s">
        <v>302</v>
      </c>
      <c r="B21" t="s">
        <v>305</v>
      </c>
      <c r="C21">
        <v>222</v>
      </c>
      <c r="D21">
        <v>189</v>
      </c>
      <c r="E21">
        <v>198</v>
      </c>
      <c r="F21">
        <v>165</v>
      </c>
      <c r="G21">
        <v>170</v>
      </c>
      <c r="H21">
        <v>250</v>
      </c>
      <c r="I21">
        <v>1194</v>
      </c>
      <c r="J21">
        <v>-117</v>
      </c>
    </row>
    <row r="22" spans="1:10" ht="15">
      <c r="A22" t="s">
        <v>656</v>
      </c>
      <c r="B22" t="s">
        <v>598</v>
      </c>
      <c r="C22">
        <v>188</v>
      </c>
      <c r="D22">
        <v>147</v>
      </c>
      <c r="E22">
        <v>204</v>
      </c>
      <c r="F22">
        <v>195</v>
      </c>
      <c r="G22">
        <v>257</v>
      </c>
      <c r="H22">
        <v>202</v>
      </c>
      <c r="I22">
        <v>1193</v>
      </c>
      <c r="J22">
        <v>-118</v>
      </c>
    </row>
    <row r="23" spans="1:10" ht="15">
      <c r="A23" t="s">
        <v>238</v>
      </c>
      <c r="B23" t="s">
        <v>239</v>
      </c>
      <c r="C23">
        <v>171</v>
      </c>
      <c r="D23">
        <v>170</v>
      </c>
      <c r="E23">
        <v>215</v>
      </c>
      <c r="F23">
        <v>223</v>
      </c>
      <c r="G23">
        <v>215</v>
      </c>
      <c r="H23">
        <v>193</v>
      </c>
      <c r="I23">
        <v>1187</v>
      </c>
      <c r="J23">
        <v>-124</v>
      </c>
    </row>
    <row r="24" spans="1:10" ht="15">
      <c r="A24" t="s">
        <v>656</v>
      </c>
      <c r="B24" t="s">
        <v>603</v>
      </c>
      <c r="C24">
        <v>185</v>
      </c>
      <c r="D24">
        <v>177</v>
      </c>
      <c r="E24">
        <v>190</v>
      </c>
      <c r="F24">
        <v>211</v>
      </c>
      <c r="G24">
        <v>232</v>
      </c>
      <c r="H24">
        <v>186</v>
      </c>
      <c r="I24">
        <v>1181</v>
      </c>
      <c r="J24">
        <v>-130</v>
      </c>
    </row>
    <row r="25" spans="1:10" ht="15">
      <c r="A25" t="s">
        <v>153</v>
      </c>
      <c r="B25" t="s">
        <v>154</v>
      </c>
      <c r="C25">
        <v>190</v>
      </c>
      <c r="D25">
        <v>225</v>
      </c>
      <c r="E25">
        <v>200</v>
      </c>
      <c r="F25">
        <v>167</v>
      </c>
      <c r="G25">
        <v>185</v>
      </c>
      <c r="H25">
        <v>211</v>
      </c>
      <c r="I25">
        <v>1178</v>
      </c>
      <c r="J25">
        <v>-133</v>
      </c>
    </row>
    <row r="26" spans="1:10" ht="15">
      <c r="A26" t="s">
        <v>302</v>
      </c>
      <c r="B26" t="s">
        <v>304</v>
      </c>
      <c r="C26">
        <v>194</v>
      </c>
      <c r="D26">
        <v>200</v>
      </c>
      <c r="E26">
        <v>189</v>
      </c>
      <c r="F26">
        <v>215</v>
      </c>
      <c r="G26">
        <v>188</v>
      </c>
      <c r="H26">
        <v>192</v>
      </c>
      <c r="I26">
        <v>1178</v>
      </c>
      <c r="J26">
        <v>-133</v>
      </c>
    </row>
    <row r="27" spans="1:10" ht="15">
      <c r="A27" t="s">
        <v>162</v>
      </c>
      <c r="B27" t="s">
        <v>169</v>
      </c>
      <c r="C27">
        <v>192</v>
      </c>
      <c r="D27">
        <v>182</v>
      </c>
      <c r="E27">
        <v>207</v>
      </c>
      <c r="F27">
        <v>160</v>
      </c>
      <c r="G27">
        <v>229</v>
      </c>
      <c r="H27">
        <v>205</v>
      </c>
      <c r="I27">
        <v>1175</v>
      </c>
      <c r="J27">
        <v>-136</v>
      </c>
    </row>
    <row r="28" spans="1:10" ht="15">
      <c r="A28" t="s">
        <v>579</v>
      </c>
      <c r="B28" t="s">
        <v>192</v>
      </c>
      <c r="C28">
        <v>204</v>
      </c>
      <c r="D28">
        <v>194</v>
      </c>
      <c r="E28">
        <v>216</v>
      </c>
      <c r="F28">
        <v>188</v>
      </c>
      <c r="G28">
        <v>171</v>
      </c>
      <c r="H28">
        <v>200</v>
      </c>
      <c r="I28">
        <v>1173</v>
      </c>
      <c r="J28">
        <v>-138</v>
      </c>
    </row>
    <row r="29" spans="1:10" ht="15">
      <c r="A29" t="s">
        <v>221</v>
      </c>
      <c r="B29" t="s">
        <v>224</v>
      </c>
      <c r="C29">
        <v>176</v>
      </c>
      <c r="D29">
        <v>185</v>
      </c>
      <c r="E29">
        <v>259</v>
      </c>
      <c r="F29">
        <v>246</v>
      </c>
      <c r="G29">
        <v>146</v>
      </c>
      <c r="H29">
        <v>160</v>
      </c>
      <c r="I29">
        <v>1172</v>
      </c>
      <c r="J29">
        <v>-139</v>
      </c>
    </row>
    <row r="30" spans="1:10" ht="15">
      <c r="A30" t="s">
        <v>647</v>
      </c>
      <c r="B30" t="s">
        <v>289</v>
      </c>
      <c r="C30">
        <v>213</v>
      </c>
      <c r="D30">
        <v>179</v>
      </c>
      <c r="E30">
        <v>195</v>
      </c>
      <c r="F30">
        <v>181</v>
      </c>
      <c r="G30">
        <v>202</v>
      </c>
      <c r="H30">
        <v>199</v>
      </c>
      <c r="I30">
        <v>1169</v>
      </c>
      <c r="J30">
        <v>-142</v>
      </c>
    </row>
    <row r="31" spans="1:10" ht="15">
      <c r="A31" t="s">
        <v>153</v>
      </c>
      <c r="B31" t="s">
        <v>159</v>
      </c>
      <c r="C31">
        <v>181</v>
      </c>
      <c r="D31">
        <v>185</v>
      </c>
      <c r="E31">
        <v>197</v>
      </c>
      <c r="F31">
        <v>211</v>
      </c>
      <c r="G31">
        <v>184</v>
      </c>
      <c r="H31">
        <v>202</v>
      </c>
      <c r="I31">
        <v>1160</v>
      </c>
      <c r="J31">
        <v>-151</v>
      </c>
    </row>
    <row r="32" spans="1:10" ht="15">
      <c r="A32" t="s">
        <v>656</v>
      </c>
      <c r="B32" t="s">
        <v>599</v>
      </c>
      <c r="C32">
        <v>195</v>
      </c>
      <c r="D32">
        <v>203</v>
      </c>
      <c r="E32">
        <v>185</v>
      </c>
      <c r="F32">
        <v>196</v>
      </c>
      <c r="G32">
        <v>194</v>
      </c>
      <c r="H32">
        <v>186</v>
      </c>
      <c r="I32">
        <v>1159</v>
      </c>
      <c r="J32">
        <v>-152</v>
      </c>
    </row>
    <row r="33" spans="1:10" ht="15">
      <c r="A33" t="s">
        <v>35</v>
      </c>
      <c r="B33" t="s">
        <v>40</v>
      </c>
      <c r="C33">
        <v>174</v>
      </c>
      <c r="D33">
        <v>223</v>
      </c>
      <c r="E33">
        <v>166</v>
      </c>
      <c r="F33">
        <v>151</v>
      </c>
      <c r="G33">
        <v>207</v>
      </c>
      <c r="H33">
        <v>234</v>
      </c>
      <c r="I33">
        <v>1155</v>
      </c>
      <c r="J33">
        <v>-156</v>
      </c>
    </row>
    <row r="34" spans="1:10" ht="15">
      <c r="A34" t="s">
        <v>144</v>
      </c>
      <c r="B34" t="s">
        <v>145</v>
      </c>
      <c r="C34">
        <v>182</v>
      </c>
      <c r="D34">
        <v>198</v>
      </c>
      <c r="E34">
        <v>184</v>
      </c>
      <c r="F34">
        <v>188</v>
      </c>
      <c r="G34">
        <v>204</v>
      </c>
      <c r="H34">
        <v>198</v>
      </c>
      <c r="I34">
        <v>1154</v>
      </c>
      <c r="J34">
        <v>-157</v>
      </c>
    </row>
    <row r="35" spans="1:10" ht="15">
      <c r="A35" t="s">
        <v>576</v>
      </c>
      <c r="B35" t="s">
        <v>188</v>
      </c>
      <c r="C35">
        <v>179</v>
      </c>
      <c r="D35">
        <v>214</v>
      </c>
      <c r="E35">
        <v>200</v>
      </c>
      <c r="F35">
        <v>185</v>
      </c>
      <c r="G35">
        <v>189</v>
      </c>
      <c r="H35">
        <v>186</v>
      </c>
      <c r="I35">
        <v>1153</v>
      </c>
      <c r="J35">
        <v>-158</v>
      </c>
    </row>
    <row r="36" spans="1:10" ht="15">
      <c r="A36" t="s">
        <v>87</v>
      </c>
      <c r="B36" t="s">
        <v>562</v>
      </c>
      <c r="C36">
        <v>187</v>
      </c>
      <c r="D36">
        <v>213</v>
      </c>
      <c r="E36">
        <v>185</v>
      </c>
      <c r="F36">
        <v>193</v>
      </c>
      <c r="G36">
        <v>173</v>
      </c>
      <c r="H36">
        <v>199</v>
      </c>
      <c r="I36">
        <v>1150</v>
      </c>
      <c r="J36">
        <v>-161</v>
      </c>
    </row>
    <row r="37" spans="1:10" ht="15">
      <c r="A37" t="s">
        <v>162</v>
      </c>
      <c r="B37" t="s">
        <v>164</v>
      </c>
      <c r="C37">
        <v>187</v>
      </c>
      <c r="D37">
        <v>196</v>
      </c>
      <c r="E37">
        <v>212</v>
      </c>
      <c r="F37">
        <v>178</v>
      </c>
      <c r="G37">
        <v>162</v>
      </c>
      <c r="H37">
        <v>215</v>
      </c>
      <c r="I37">
        <v>1150</v>
      </c>
      <c r="J37">
        <v>-161</v>
      </c>
    </row>
    <row r="38" spans="1:10" ht="15">
      <c r="A38" t="s">
        <v>238</v>
      </c>
      <c r="B38" t="s">
        <v>240</v>
      </c>
      <c r="C38">
        <v>213</v>
      </c>
      <c r="D38">
        <v>178</v>
      </c>
      <c r="E38">
        <v>168</v>
      </c>
      <c r="F38">
        <v>222</v>
      </c>
      <c r="G38">
        <v>213</v>
      </c>
      <c r="H38">
        <v>154</v>
      </c>
      <c r="I38">
        <v>1148</v>
      </c>
      <c r="J38">
        <v>-163</v>
      </c>
    </row>
    <row r="39" spans="1:10" ht="15">
      <c r="A39" t="s">
        <v>55</v>
      </c>
      <c r="B39" t="s">
        <v>56</v>
      </c>
      <c r="C39">
        <v>185</v>
      </c>
      <c r="D39">
        <v>182</v>
      </c>
      <c r="E39">
        <v>178</v>
      </c>
      <c r="F39">
        <v>197</v>
      </c>
      <c r="G39">
        <v>196</v>
      </c>
      <c r="H39">
        <v>208</v>
      </c>
      <c r="I39">
        <v>1146</v>
      </c>
      <c r="J39">
        <v>-165</v>
      </c>
    </row>
    <row r="40" spans="1:10" ht="15">
      <c r="A40" t="s">
        <v>647</v>
      </c>
      <c r="B40" t="s">
        <v>287</v>
      </c>
      <c r="C40">
        <v>188</v>
      </c>
      <c r="D40">
        <v>175</v>
      </c>
      <c r="E40">
        <v>246</v>
      </c>
      <c r="F40">
        <v>172</v>
      </c>
      <c r="G40">
        <v>188</v>
      </c>
      <c r="H40">
        <v>176</v>
      </c>
      <c r="I40">
        <v>1145</v>
      </c>
      <c r="J40">
        <v>-166</v>
      </c>
    </row>
    <row r="41" spans="1:10" ht="15">
      <c r="A41" t="s">
        <v>30</v>
      </c>
      <c r="B41" t="s">
        <v>580</v>
      </c>
      <c r="C41">
        <v>154</v>
      </c>
      <c r="D41">
        <v>183</v>
      </c>
      <c r="E41">
        <v>192</v>
      </c>
      <c r="F41">
        <v>201</v>
      </c>
      <c r="G41">
        <v>228</v>
      </c>
      <c r="H41">
        <v>185</v>
      </c>
      <c r="I41">
        <v>1143</v>
      </c>
      <c r="J41">
        <v>-168</v>
      </c>
    </row>
    <row r="42" spans="1:10" ht="15">
      <c r="A42" t="s">
        <v>48</v>
      </c>
      <c r="B42" t="s">
        <v>53</v>
      </c>
      <c r="C42">
        <v>190</v>
      </c>
      <c r="D42">
        <v>198</v>
      </c>
      <c r="E42">
        <v>180</v>
      </c>
      <c r="F42">
        <v>181</v>
      </c>
      <c r="G42">
        <v>194</v>
      </c>
      <c r="H42">
        <v>199</v>
      </c>
      <c r="I42">
        <v>1142</v>
      </c>
      <c r="J42">
        <v>-169</v>
      </c>
    </row>
    <row r="43" spans="1:10" ht="15">
      <c r="A43" t="s">
        <v>35</v>
      </c>
      <c r="B43" t="s">
        <v>38</v>
      </c>
      <c r="C43">
        <v>207</v>
      </c>
      <c r="D43">
        <v>226</v>
      </c>
      <c r="E43">
        <v>143</v>
      </c>
      <c r="F43">
        <v>185</v>
      </c>
      <c r="G43">
        <v>163</v>
      </c>
      <c r="H43">
        <v>215</v>
      </c>
      <c r="I43">
        <v>1139</v>
      </c>
      <c r="J43">
        <v>-172</v>
      </c>
    </row>
    <row r="44" spans="1:10" ht="15">
      <c r="A44" t="s">
        <v>278</v>
      </c>
      <c r="B44" t="s">
        <v>279</v>
      </c>
      <c r="C44">
        <v>178</v>
      </c>
      <c r="D44">
        <v>183</v>
      </c>
      <c r="E44">
        <v>151</v>
      </c>
      <c r="F44">
        <v>211</v>
      </c>
      <c r="G44">
        <v>190</v>
      </c>
      <c r="H44">
        <v>226</v>
      </c>
      <c r="I44">
        <v>1139</v>
      </c>
      <c r="J44">
        <v>-172</v>
      </c>
    </row>
    <row r="45" spans="1:10" ht="15">
      <c r="A45" t="s">
        <v>325</v>
      </c>
      <c r="B45" t="s">
        <v>328</v>
      </c>
      <c r="C45">
        <v>147</v>
      </c>
      <c r="D45">
        <v>205</v>
      </c>
      <c r="E45">
        <v>151</v>
      </c>
      <c r="F45">
        <v>204</v>
      </c>
      <c r="G45">
        <v>180</v>
      </c>
      <c r="H45">
        <v>252</v>
      </c>
      <c r="I45">
        <v>1139</v>
      </c>
      <c r="J45">
        <v>-172</v>
      </c>
    </row>
    <row r="46" spans="1:10" ht="15">
      <c r="A46" t="s">
        <v>96</v>
      </c>
      <c r="B46" t="s">
        <v>102</v>
      </c>
      <c r="C46">
        <v>154</v>
      </c>
      <c r="D46">
        <v>159</v>
      </c>
      <c r="E46">
        <v>188</v>
      </c>
      <c r="F46">
        <v>200</v>
      </c>
      <c r="G46">
        <v>246</v>
      </c>
      <c r="H46">
        <v>187</v>
      </c>
      <c r="I46">
        <v>1134</v>
      </c>
      <c r="J46">
        <v>-177</v>
      </c>
    </row>
    <row r="47" spans="1:10" ht="15">
      <c r="A47" t="s">
        <v>153</v>
      </c>
      <c r="B47" t="s">
        <v>156</v>
      </c>
      <c r="C47">
        <v>221</v>
      </c>
      <c r="D47">
        <v>205</v>
      </c>
      <c r="E47">
        <v>137</v>
      </c>
      <c r="F47">
        <v>229</v>
      </c>
      <c r="G47">
        <v>149</v>
      </c>
      <c r="H47">
        <v>192</v>
      </c>
      <c r="I47">
        <v>1133</v>
      </c>
      <c r="J47">
        <v>-178</v>
      </c>
    </row>
    <row r="48" spans="1:10" ht="15">
      <c r="A48" t="s">
        <v>316</v>
      </c>
      <c r="B48" t="s">
        <v>320</v>
      </c>
      <c r="C48">
        <v>167</v>
      </c>
      <c r="D48">
        <v>194</v>
      </c>
      <c r="E48">
        <v>201</v>
      </c>
      <c r="F48">
        <v>184</v>
      </c>
      <c r="G48">
        <v>162</v>
      </c>
      <c r="H48">
        <v>221</v>
      </c>
      <c r="I48">
        <v>1129</v>
      </c>
      <c r="J48">
        <v>-182</v>
      </c>
    </row>
    <row r="49" spans="1:10" ht="15">
      <c r="A49" t="s">
        <v>657</v>
      </c>
      <c r="B49" t="s">
        <v>594</v>
      </c>
      <c r="C49">
        <v>177</v>
      </c>
      <c r="D49">
        <v>198</v>
      </c>
      <c r="E49">
        <v>198</v>
      </c>
      <c r="F49">
        <v>178</v>
      </c>
      <c r="G49">
        <v>160</v>
      </c>
      <c r="H49">
        <v>216</v>
      </c>
      <c r="I49">
        <v>1127</v>
      </c>
      <c r="J49">
        <v>-184</v>
      </c>
    </row>
    <row r="50" spans="1:10" ht="15">
      <c r="A50" t="s">
        <v>657</v>
      </c>
      <c r="B50" t="s">
        <v>595</v>
      </c>
      <c r="C50">
        <v>214</v>
      </c>
      <c r="D50">
        <v>193</v>
      </c>
      <c r="E50">
        <v>176</v>
      </c>
      <c r="F50">
        <v>182</v>
      </c>
      <c r="G50">
        <v>191</v>
      </c>
      <c r="H50">
        <v>171</v>
      </c>
      <c r="I50">
        <v>1127</v>
      </c>
      <c r="J50">
        <v>-184</v>
      </c>
    </row>
    <row r="51" spans="1:10" ht="15">
      <c r="A51" t="s">
        <v>278</v>
      </c>
      <c r="B51" t="s">
        <v>283</v>
      </c>
      <c r="C51">
        <v>176</v>
      </c>
      <c r="D51">
        <v>210</v>
      </c>
      <c r="E51">
        <v>159</v>
      </c>
      <c r="F51">
        <v>210</v>
      </c>
      <c r="G51">
        <v>166</v>
      </c>
      <c r="H51">
        <v>204</v>
      </c>
      <c r="I51">
        <v>1125</v>
      </c>
      <c r="J51">
        <v>-186</v>
      </c>
    </row>
    <row r="52" spans="1:10" ht="15">
      <c r="A52" t="s">
        <v>35</v>
      </c>
      <c r="B52" t="s">
        <v>36</v>
      </c>
      <c r="C52">
        <v>167</v>
      </c>
      <c r="D52">
        <v>196</v>
      </c>
      <c r="E52">
        <v>220</v>
      </c>
      <c r="F52">
        <v>147</v>
      </c>
      <c r="G52">
        <v>213</v>
      </c>
      <c r="H52">
        <v>178</v>
      </c>
      <c r="I52">
        <v>1121</v>
      </c>
      <c r="J52">
        <v>-190</v>
      </c>
    </row>
    <row r="53" spans="1:10" ht="15">
      <c r="A53" t="s">
        <v>170</v>
      </c>
      <c r="B53" t="s">
        <v>178</v>
      </c>
      <c r="C53">
        <v>152</v>
      </c>
      <c r="D53">
        <v>186</v>
      </c>
      <c r="E53">
        <v>197</v>
      </c>
      <c r="F53">
        <v>185</v>
      </c>
      <c r="G53">
        <v>177</v>
      </c>
      <c r="H53">
        <v>224</v>
      </c>
      <c r="I53">
        <v>1121</v>
      </c>
      <c r="J53">
        <v>-190</v>
      </c>
    </row>
    <row r="54" spans="1:10" ht="15">
      <c r="A54" t="s">
        <v>71</v>
      </c>
      <c r="B54" t="s">
        <v>74</v>
      </c>
      <c r="C54">
        <v>193</v>
      </c>
      <c r="D54">
        <v>186</v>
      </c>
      <c r="E54">
        <v>190</v>
      </c>
      <c r="F54">
        <v>168</v>
      </c>
      <c r="G54">
        <v>194</v>
      </c>
      <c r="H54">
        <v>189</v>
      </c>
      <c r="I54">
        <v>1120</v>
      </c>
      <c r="J54">
        <v>-191</v>
      </c>
    </row>
    <row r="55" spans="1:10" ht="15">
      <c r="A55" t="s">
        <v>657</v>
      </c>
      <c r="B55" t="s">
        <v>590</v>
      </c>
      <c r="C55">
        <v>191</v>
      </c>
      <c r="D55">
        <v>169</v>
      </c>
      <c r="E55">
        <v>193</v>
      </c>
      <c r="F55">
        <v>155</v>
      </c>
      <c r="G55">
        <v>214</v>
      </c>
      <c r="H55">
        <v>198</v>
      </c>
      <c r="I55">
        <v>1120</v>
      </c>
      <c r="J55">
        <v>-191</v>
      </c>
    </row>
    <row r="56" spans="1:10" ht="15">
      <c r="A56" t="s">
        <v>79</v>
      </c>
      <c r="B56" t="s">
        <v>82</v>
      </c>
      <c r="C56">
        <v>210</v>
      </c>
      <c r="D56">
        <v>172</v>
      </c>
      <c r="E56">
        <v>135</v>
      </c>
      <c r="F56">
        <v>158</v>
      </c>
      <c r="G56">
        <v>279</v>
      </c>
      <c r="H56">
        <v>163</v>
      </c>
      <c r="I56">
        <v>1117</v>
      </c>
      <c r="J56">
        <v>-194</v>
      </c>
    </row>
    <row r="57" spans="1:10" ht="15">
      <c r="A57" t="s">
        <v>30</v>
      </c>
      <c r="B57" t="s">
        <v>33</v>
      </c>
      <c r="C57">
        <v>165</v>
      </c>
      <c r="D57">
        <v>162</v>
      </c>
      <c r="E57">
        <v>224</v>
      </c>
      <c r="F57">
        <v>177</v>
      </c>
      <c r="G57">
        <v>182</v>
      </c>
      <c r="H57">
        <v>204</v>
      </c>
      <c r="I57">
        <v>1114</v>
      </c>
      <c r="J57">
        <v>-197</v>
      </c>
    </row>
    <row r="58" spans="1:10" ht="15">
      <c r="A58" t="s">
        <v>278</v>
      </c>
      <c r="B58" t="s">
        <v>282</v>
      </c>
      <c r="C58">
        <v>199</v>
      </c>
      <c r="D58">
        <v>185</v>
      </c>
      <c r="E58">
        <v>181</v>
      </c>
      <c r="F58">
        <v>150</v>
      </c>
      <c r="G58">
        <v>190</v>
      </c>
      <c r="H58">
        <v>208</v>
      </c>
      <c r="I58">
        <v>1113</v>
      </c>
      <c r="J58">
        <v>-198</v>
      </c>
    </row>
    <row r="59" spans="1:10" ht="15">
      <c r="A59" t="s">
        <v>309</v>
      </c>
      <c r="B59" t="s">
        <v>314</v>
      </c>
      <c r="C59">
        <v>185</v>
      </c>
      <c r="D59">
        <v>182</v>
      </c>
      <c r="E59">
        <v>177</v>
      </c>
      <c r="F59">
        <v>211</v>
      </c>
      <c r="G59">
        <v>201</v>
      </c>
      <c r="H59">
        <v>154</v>
      </c>
      <c r="I59">
        <v>1110</v>
      </c>
      <c r="J59">
        <v>-201</v>
      </c>
    </row>
    <row r="60" spans="1:10" ht="15">
      <c r="A60" t="s">
        <v>230</v>
      </c>
      <c r="B60" t="s">
        <v>235</v>
      </c>
      <c r="C60">
        <v>177</v>
      </c>
      <c r="D60">
        <v>157</v>
      </c>
      <c r="E60">
        <v>189</v>
      </c>
      <c r="F60">
        <v>211</v>
      </c>
      <c r="G60">
        <v>169</v>
      </c>
      <c r="H60">
        <v>206</v>
      </c>
      <c r="I60">
        <v>1109</v>
      </c>
      <c r="J60">
        <v>-202</v>
      </c>
    </row>
    <row r="61" spans="1:10" ht="15">
      <c r="A61" t="s">
        <v>87</v>
      </c>
      <c r="B61" t="s">
        <v>563</v>
      </c>
      <c r="C61">
        <v>236</v>
      </c>
      <c r="D61">
        <v>170</v>
      </c>
      <c r="E61">
        <v>203</v>
      </c>
      <c r="F61">
        <v>199</v>
      </c>
      <c r="G61">
        <v>151</v>
      </c>
      <c r="H61">
        <v>149</v>
      </c>
      <c r="I61">
        <v>1108</v>
      </c>
      <c r="J61">
        <v>-203</v>
      </c>
    </row>
    <row r="62" spans="1:10" ht="15">
      <c r="A62" t="s">
        <v>579</v>
      </c>
      <c r="B62" t="s">
        <v>193</v>
      </c>
      <c r="C62">
        <v>214</v>
      </c>
      <c r="D62">
        <v>176</v>
      </c>
      <c r="E62">
        <v>194</v>
      </c>
      <c r="F62">
        <v>154</v>
      </c>
      <c r="G62">
        <v>175</v>
      </c>
      <c r="H62">
        <v>187</v>
      </c>
      <c r="I62">
        <v>1100</v>
      </c>
      <c r="J62">
        <v>-211</v>
      </c>
    </row>
    <row r="63" spans="1:10" ht="15">
      <c r="A63" t="s">
        <v>135</v>
      </c>
      <c r="B63" t="s">
        <v>142</v>
      </c>
      <c r="C63">
        <v>173</v>
      </c>
      <c r="D63">
        <v>165</v>
      </c>
      <c r="E63">
        <v>175</v>
      </c>
      <c r="F63">
        <v>190</v>
      </c>
      <c r="G63">
        <v>165</v>
      </c>
      <c r="H63">
        <v>230</v>
      </c>
      <c r="I63">
        <v>1098</v>
      </c>
      <c r="J63">
        <v>-213</v>
      </c>
    </row>
    <row r="64" spans="1:10" ht="15">
      <c r="A64" t="s">
        <v>230</v>
      </c>
      <c r="B64" t="s">
        <v>231</v>
      </c>
      <c r="C64">
        <v>200</v>
      </c>
      <c r="D64">
        <v>184</v>
      </c>
      <c r="E64">
        <v>206</v>
      </c>
      <c r="F64">
        <v>161</v>
      </c>
      <c r="G64">
        <v>182</v>
      </c>
      <c r="H64">
        <v>164</v>
      </c>
      <c r="I64">
        <v>1097</v>
      </c>
      <c r="J64">
        <v>-214</v>
      </c>
    </row>
    <row r="65" spans="1:10" ht="15">
      <c r="A65" t="s">
        <v>648</v>
      </c>
      <c r="B65" t="s">
        <v>300</v>
      </c>
      <c r="C65">
        <v>198</v>
      </c>
      <c r="D65">
        <v>170</v>
      </c>
      <c r="E65">
        <v>204</v>
      </c>
      <c r="F65">
        <v>180</v>
      </c>
      <c r="G65">
        <v>181</v>
      </c>
      <c r="H65">
        <v>163</v>
      </c>
      <c r="I65">
        <v>1096</v>
      </c>
      <c r="J65">
        <v>-215</v>
      </c>
    </row>
    <row r="66" spans="1:10" ht="15">
      <c r="A66" t="s">
        <v>104</v>
      </c>
      <c r="B66" t="s">
        <v>105</v>
      </c>
      <c r="C66">
        <v>151</v>
      </c>
      <c r="D66">
        <v>145</v>
      </c>
      <c r="E66">
        <v>201</v>
      </c>
      <c r="F66">
        <v>180</v>
      </c>
      <c r="G66">
        <v>225</v>
      </c>
      <c r="H66">
        <v>192</v>
      </c>
      <c r="I66">
        <v>1094</v>
      </c>
      <c r="J66">
        <v>-217</v>
      </c>
    </row>
    <row r="67" spans="1:10" ht="15">
      <c r="A67" t="s">
        <v>26</v>
      </c>
      <c r="B67" t="s">
        <v>27</v>
      </c>
      <c r="C67">
        <v>186</v>
      </c>
      <c r="D67">
        <v>172</v>
      </c>
      <c r="E67">
        <v>176</v>
      </c>
      <c r="F67">
        <v>139</v>
      </c>
      <c r="G67">
        <v>196</v>
      </c>
      <c r="H67">
        <v>224</v>
      </c>
      <c r="I67">
        <v>1093</v>
      </c>
      <c r="J67">
        <v>-218</v>
      </c>
    </row>
    <row r="68" spans="1:10" ht="15">
      <c r="A68" t="s">
        <v>126</v>
      </c>
      <c r="B68" t="s">
        <v>127</v>
      </c>
      <c r="C68">
        <v>194</v>
      </c>
      <c r="D68">
        <v>193</v>
      </c>
      <c r="E68">
        <v>158</v>
      </c>
      <c r="F68">
        <v>192</v>
      </c>
      <c r="G68">
        <v>194</v>
      </c>
      <c r="H68">
        <v>159</v>
      </c>
      <c r="I68">
        <v>1090</v>
      </c>
      <c r="J68">
        <v>-221</v>
      </c>
    </row>
    <row r="69" spans="1:9" ht="15">
      <c r="A69" t="s">
        <v>63</v>
      </c>
      <c r="B69" t="s">
        <v>70</v>
      </c>
      <c r="C69">
        <v>172</v>
      </c>
      <c r="D69">
        <v>167</v>
      </c>
      <c r="E69">
        <v>169</v>
      </c>
      <c r="F69">
        <v>189</v>
      </c>
      <c r="G69">
        <v>226</v>
      </c>
      <c r="H69">
        <v>163</v>
      </c>
      <c r="I69">
        <v>1086</v>
      </c>
    </row>
    <row r="70" spans="1:9" ht="15">
      <c r="A70" t="s">
        <v>576</v>
      </c>
      <c r="B70" t="s">
        <v>185</v>
      </c>
      <c r="C70">
        <v>193</v>
      </c>
      <c r="D70">
        <v>195</v>
      </c>
      <c r="E70">
        <v>188</v>
      </c>
      <c r="F70">
        <v>163</v>
      </c>
      <c r="G70">
        <v>183</v>
      </c>
      <c r="H70">
        <v>164</v>
      </c>
      <c r="I70">
        <v>1086</v>
      </c>
    </row>
    <row r="71" spans="1:9" ht="15">
      <c r="A71" t="s">
        <v>112</v>
      </c>
      <c r="B71" t="s">
        <v>121</v>
      </c>
      <c r="C71">
        <v>203</v>
      </c>
      <c r="D71">
        <v>199</v>
      </c>
      <c r="E71">
        <v>136</v>
      </c>
      <c r="F71">
        <v>187</v>
      </c>
      <c r="G71">
        <v>164</v>
      </c>
      <c r="H71">
        <v>195</v>
      </c>
      <c r="I71">
        <v>1084</v>
      </c>
    </row>
    <row r="72" spans="1:9" ht="15">
      <c r="A72" t="s">
        <v>71</v>
      </c>
      <c r="B72" t="s">
        <v>75</v>
      </c>
      <c r="C72">
        <v>179</v>
      </c>
      <c r="D72">
        <v>206</v>
      </c>
      <c r="E72">
        <v>160</v>
      </c>
      <c r="F72">
        <v>223</v>
      </c>
      <c r="G72">
        <v>162</v>
      </c>
      <c r="H72">
        <v>149</v>
      </c>
      <c r="I72">
        <v>1079</v>
      </c>
    </row>
    <row r="73" spans="1:9" ht="15">
      <c r="A73" t="s">
        <v>162</v>
      </c>
      <c r="B73" t="s">
        <v>165</v>
      </c>
      <c r="C73">
        <v>168</v>
      </c>
      <c r="D73">
        <v>186</v>
      </c>
      <c r="E73">
        <v>221</v>
      </c>
      <c r="F73">
        <v>176</v>
      </c>
      <c r="G73">
        <v>158</v>
      </c>
      <c r="H73">
        <v>168</v>
      </c>
      <c r="I73">
        <v>1077</v>
      </c>
    </row>
    <row r="74" spans="1:9" ht="15">
      <c r="A74" t="s">
        <v>17</v>
      </c>
      <c r="B74" t="s">
        <v>25</v>
      </c>
      <c r="C74">
        <v>174</v>
      </c>
      <c r="D74">
        <v>175</v>
      </c>
      <c r="E74">
        <v>164</v>
      </c>
      <c r="F74">
        <v>189</v>
      </c>
      <c r="G74">
        <v>223</v>
      </c>
      <c r="H74">
        <v>151</v>
      </c>
      <c r="I74">
        <v>1076</v>
      </c>
    </row>
    <row r="75" spans="1:9" ht="15">
      <c r="A75" t="s">
        <v>576</v>
      </c>
      <c r="B75" t="s">
        <v>187</v>
      </c>
      <c r="C75">
        <v>171</v>
      </c>
      <c r="D75">
        <v>203</v>
      </c>
      <c r="E75">
        <v>183</v>
      </c>
      <c r="F75">
        <v>160</v>
      </c>
      <c r="G75">
        <v>201</v>
      </c>
      <c r="H75">
        <v>158</v>
      </c>
      <c r="I75">
        <v>1076</v>
      </c>
    </row>
    <row r="76" spans="1:9" ht="15">
      <c r="A76" t="s">
        <v>170</v>
      </c>
      <c r="B76" t="s">
        <v>163</v>
      </c>
      <c r="C76">
        <v>155</v>
      </c>
      <c r="D76">
        <v>134</v>
      </c>
      <c r="E76">
        <v>192</v>
      </c>
      <c r="F76">
        <v>212</v>
      </c>
      <c r="G76">
        <v>182</v>
      </c>
      <c r="H76">
        <v>200</v>
      </c>
      <c r="I76">
        <v>1075</v>
      </c>
    </row>
    <row r="77" spans="1:9" ht="15">
      <c r="A77" t="s">
        <v>126</v>
      </c>
      <c r="B77" t="s">
        <v>130</v>
      </c>
      <c r="C77">
        <v>174</v>
      </c>
      <c r="D77">
        <v>201</v>
      </c>
      <c r="E77">
        <v>137</v>
      </c>
      <c r="F77">
        <v>147</v>
      </c>
      <c r="G77">
        <v>224</v>
      </c>
      <c r="H77">
        <v>191</v>
      </c>
      <c r="I77">
        <v>1074</v>
      </c>
    </row>
    <row r="78" spans="1:9" ht="15">
      <c r="A78" t="s">
        <v>170</v>
      </c>
      <c r="B78" t="s">
        <v>174</v>
      </c>
      <c r="C78">
        <v>171</v>
      </c>
      <c r="D78">
        <v>173</v>
      </c>
      <c r="E78">
        <v>190</v>
      </c>
      <c r="F78">
        <v>182</v>
      </c>
      <c r="G78">
        <v>163</v>
      </c>
      <c r="H78">
        <v>193</v>
      </c>
      <c r="I78">
        <v>1072</v>
      </c>
    </row>
    <row r="79" spans="1:9" ht="15">
      <c r="A79" t="s">
        <v>271</v>
      </c>
      <c r="B79" t="s">
        <v>275</v>
      </c>
      <c r="C79">
        <v>162</v>
      </c>
      <c r="D79">
        <v>137</v>
      </c>
      <c r="E79">
        <v>211</v>
      </c>
      <c r="F79">
        <v>166</v>
      </c>
      <c r="G79">
        <v>199</v>
      </c>
      <c r="H79">
        <v>197</v>
      </c>
      <c r="I79">
        <v>1072</v>
      </c>
    </row>
    <row r="80" spans="1:9" ht="15">
      <c r="A80" t="s">
        <v>48</v>
      </c>
      <c r="B80" t="s">
        <v>51</v>
      </c>
      <c r="C80">
        <v>193</v>
      </c>
      <c r="D80">
        <v>229</v>
      </c>
      <c r="E80">
        <v>206</v>
      </c>
      <c r="F80">
        <v>146</v>
      </c>
      <c r="G80">
        <v>158</v>
      </c>
      <c r="H80">
        <v>136</v>
      </c>
      <c r="I80">
        <v>1068</v>
      </c>
    </row>
    <row r="81" spans="1:9" ht="15">
      <c r="A81" t="s">
        <v>42</v>
      </c>
      <c r="B81" t="s">
        <v>47</v>
      </c>
      <c r="C81">
        <v>182</v>
      </c>
      <c r="D81">
        <v>131</v>
      </c>
      <c r="E81">
        <v>206</v>
      </c>
      <c r="F81">
        <v>206</v>
      </c>
      <c r="G81">
        <v>172</v>
      </c>
      <c r="H81">
        <v>167</v>
      </c>
      <c r="I81">
        <v>1064</v>
      </c>
    </row>
    <row r="82" spans="1:9" ht="15">
      <c r="A82" t="s">
        <v>648</v>
      </c>
      <c r="B82" t="s">
        <v>291</v>
      </c>
      <c r="C82">
        <v>146</v>
      </c>
      <c r="D82">
        <v>173</v>
      </c>
      <c r="E82">
        <v>183</v>
      </c>
      <c r="F82">
        <v>167</v>
      </c>
      <c r="G82">
        <v>201</v>
      </c>
      <c r="H82">
        <v>192</v>
      </c>
      <c r="I82">
        <v>1062</v>
      </c>
    </row>
    <row r="83" spans="1:9" ht="15">
      <c r="A83" t="s">
        <v>579</v>
      </c>
      <c r="B83" t="s">
        <v>190</v>
      </c>
      <c r="C83">
        <v>177</v>
      </c>
      <c r="D83">
        <v>219</v>
      </c>
      <c r="E83">
        <v>169</v>
      </c>
      <c r="F83">
        <v>151</v>
      </c>
      <c r="G83">
        <v>151</v>
      </c>
      <c r="H83">
        <v>180</v>
      </c>
      <c r="I83">
        <v>1047</v>
      </c>
    </row>
    <row r="84" spans="1:9" ht="15">
      <c r="A84" t="s">
        <v>162</v>
      </c>
      <c r="B84" t="s">
        <v>168</v>
      </c>
      <c r="C84">
        <v>158</v>
      </c>
      <c r="D84">
        <v>191</v>
      </c>
      <c r="E84">
        <v>174</v>
      </c>
      <c r="F84">
        <v>188</v>
      </c>
      <c r="G84">
        <v>184</v>
      </c>
      <c r="H84">
        <v>150</v>
      </c>
      <c r="I84">
        <v>1045</v>
      </c>
    </row>
    <row r="85" spans="1:9" ht="15">
      <c r="A85" t="s">
        <v>88</v>
      </c>
      <c r="B85" t="s">
        <v>91</v>
      </c>
      <c r="C85">
        <v>165</v>
      </c>
      <c r="D85">
        <v>160</v>
      </c>
      <c r="E85">
        <v>202</v>
      </c>
      <c r="F85">
        <v>201</v>
      </c>
      <c r="G85">
        <v>181</v>
      </c>
      <c r="H85">
        <v>132</v>
      </c>
      <c r="I85">
        <v>1041</v>
      </c>
    </row>
    <row r="86" spans="1:9" ht="15">
      <c r="A86" t="s">
        <v>12</v>
      </c>
      <c r="B86" t="s">
        <v>604</v>
      </c>
      <c r="C86">
        <v>181</v>
      </c>
      <c r="D86">
        <v>156</v>
      </c>
      <c r="E86">
        <v>186</v>
      </c>
      <c r="F86">
        <v>147</v>
      </c>
      <c r="G86">
        <v>164</v>
      </c>
      <c r="H86">
        <v>205</v>
      </c>
      <c r="I86">
        <v>1039</v>
      </c>
    </row>
    <row r="87" spans="1:9" ht="15">
      <c r="A87" t="s">
        <v>35</v>
      </c>
      <c r="B87" t="s">
        <v>41</v>
      </c>
      <c r="C87">
        <v>178</v>
      </c>
      <c r="D87">
        <v>192</v>
      </c>
      <c r="E87">
        <v>164</v>
      </c>
      <c r="F87">
        <v>160</v>
      </c>
      <c r="G87">
        <v>175</v>
      </c>
      <c r="H87">
        <v>169</v>
      </c>
      <c r="I87">
        <v>1038</v>
      </c>
    </row>
    <row r="88" spans="1:9" ht="15">
      <c r="A88" t="s">
        <v>647</v>
      </c>
      <c r="B88" t="s">
        <v>292</v>
      </c>
      <c r="D88">
        <v>205</v>
      </c>
      <c r="E88">
        <v>214</v>
      </c>
      <c r="F88">
        <v>183</v>
      </c>
      <c r="G88">
        <v>223</v>
      </c>
      <c r="H88">
        <v>212</v>
      </c>
      <c r="I88">
        <v>1037</v>
      </c>
    </row>
    <row r="89" spans="1:9" ht="15">
      <c r="A89" t="s">
        <v>271</v>
      </c>
      <c r="B89" t="s">
        <v>272</v>
      </c>
      <c r="C89">
        <v>187</v>
      </c>
      <c r="D89">
        <v>200</v>
      </c>
      <c r="E89">
        <v>155</v>
      </c>
      <c r="F89">
        <v>171</v>
      </c>
      <c r="G89">
        <v>145</v>
      </c>
      <c r="H89">
        <v>178</v>
      </c>
      <c r="I89">
        <v>1036</v>
      </c>
    </row>
    <row r="90" spans="1:9" ht="15">
      <c r="A90" t="s">
        <v>42</v>
      </c>
      <c r="B90" t="s">
        <v>46</v>
      </c>
      <c r="C90">
        <v>157</v>
      </c>
      <c r="D90">
        <v>144</v>
      </c>
      <c r="E90">
        <v>191</v>
      </c>
      <c r="F90">
        <v>194</v>
      </c>
      <c r="G90">
        <v>152</v>
      </c>
      <c r="H90">
        <v>190</v>
      </c>
      <c r="I90">
        <v>1028</v>
      </c>
    </row>
    <row r="91" spans="1:9" ht="15">
      <c r="A91" t="s">
        <v>63</v>
      </c>
      <c r="B91" t="s">
        <v>65</v>
      </c>
      <c r="C91">
        <v>155</v>
      </c>
      <c r="D91">
        <v>173</v>
      </c>
      <c r="E91">
        <v>172</v>
      </c>
      <c r="F91">
        <v>164</v>
      </c>
      <c r="G91">
        <v>192</v>
      </c>
      <c r="H91">
        <v>169</v>
      </c>
      <c r="I91">
        <v>1025</v>
      </c>
    </row>
    <row r="92" spans="1:9" ht="15">
      <c r="A92" t="s">
        <v>30</v>
      </c>
      <c r="B92" t="s">
        <v>581</v>
      </c>
      <c r="C92">
        <v>160</v>
      </c>
      <c r="D92">
        <v>230</v>
      </c>
      <c r="E92">
        <v>181</v>
      </c>
      <c r="F92">
        <v>166</v>
      </c>
      <c r="G92">
        <v>139</v>
      </c>
      <c r="H92">
        <v>148</v>
      </c>
      <c r="I92">
        <v>1024</v>
      </c>
    </row>
    <row r="93" spans="1:9" ht="15">
      <c r="A93" t="s">
        <v>106</v>
      </c>
      <c r="B93" t="s">
        <v>118</v>
      </c>
      <c r="C93">
        <v>169</v>
      </c>
      <c r="D93">
        <v>224</v>
      </c>
      <c r="E93">
        <v>178</v>
      </c>
      <c r="F93">
        <v>132</v>
      </c>
      <c r="G93">
        <v>160</v>
      </c>
      <c r="H93">
        <v>159</v>
      </c>
      <c r="I93">
        <v>1022</v>
      </c>
    </row>
    <row r="94" spans="1:9" ht="15">
      <c r="A94" t="s">
        <v>42</v>
      </c>
      <c r="B94" t="s">
        <v>587</v>
      </c>
      <c r="C94">
        <v>157</v>
      </c>
      <c r="D94">
        <v>143</v>
      </c>
      <c r="E94">
        <v>175</v>
      </c>
      <c r="F94">
        <v>211</v>
      </c>
      <c r="G94">
        <v>171</v>
      </c>
      <c r="H94">
        <v>164</v>
      </c>
      <c r="I94">
        <v>1021</v>
      </c>
    </row>
    <row r="95" spans="1:9" ht="15">
      <c r="A95" t="s">
        <v>255</v>
      </c>
      <c r="B95" t="s">
        <v>257</v>
      </c>
      <c r="C95">
        <v>177</v>
      </c>
      <c r="D95">
        <v>157</v>
      </c>
      <c r="E95">
        <v>157</v>
      </c>
      <c r="F95">
        <v>167</v>
      </c>
      <c r="G95">
        <v>158</v>
      </c>
      <c r="H95">
        <v>201</v>
      </c>
      <c r="I95">
        <v>1017</v>
      </c>
    </row>
    <row r="96" spans="1:9" ht="15">
      <c r="A96" t="s">
        <v>79</v>
      </c>
      <c r="B96" t="s">
        <v>83</v>
      </c>
      <c r="C96">
        <v>180</v>
      </c>
      <c r="D96">
        <v>159</v>
      </c>
      <c r="E96">
        <v>222</v>
      </c>
      <c r="F96">
        <v>149</v>
      </c>
      <c r="G96">
        <v>181</v>
      </c>
      <c r="H96">
        <v>125</v>
      </c>
      <c r="I96">
        <v>1016</v>
      </c>
    </row>
    <row r="97" spans="1:9" ht="15">
      <c r="A97" t="s">
        <v>162</v>
      </c>
      <c r="B97" t="s">
        <v>166</v>
      </c>
      <c r="C97">
        <v>139</v>
      </c>
      <c r="D97">
        <v>168</v>
      </c>
      <c r="E97">
        <v>159</v>
      </c>
      <c r="F97">
        <v>168</v>
      </c>
      <c r="G97">
        <v>184</v>
      </c>
      <c r="H97">
        <v>194</v>
      </c>
      <c r="I97">
        <v>1012</v>
      </c>
    </row>
    <row r="98" spans="1:9" ht="15">
      <c r="A98" t="s">
        <v>42</v>
      </c>
      <c r="B98" t="s">
        <v>44</v>
      </c>
      <c r="C98">
        <v>147</v>
      </c>
      <c r="D98">
        <v>166</v>
      </c>
      <c r="E98">
        <v>202</v>
      </c>
      <c r="F98">
        <v>172</v>
      </c>
      <c r="G98">
        <v>140</v>
      </c>
      <c r="H98">
        <v>184</v>
      </c>
      <c r="I98">
        <v>1011</v>
      </c>
    </row>
    <row r="99" spans="1:9" ht="15">
      <c r="A99" t="s">
        <v>30</v>
      </c>
      <c r="B99" t="s">
        <v>31</v>
      </c>
      <c r="C99">
        <v>159</v>
      </c>
      <c r="D99">
        <v>153</v>
      </c>
      <c r="E99">
        <v>165</v>
      </c>
      <c r="F99">
        <v>200</v>
      </c>
      <c r="G99">
        <v>177</v>
      </c>
      <c r="H99">
        <v>152</v>
      </c>
      <c r="I99">
        <v>1006</v>
      </c>
    </row>
    <row r="100" spans="1:9" ht="15">
      <c r="A100" t="s">
        <v>207</v>
      </c>
      <c r="B100" t="s">
        <v>209</v>
      </c>
      <c r="C100">
        <v>199</v>
      </c>
      <c r="D100">
        <v>151</v>
      </c>
      <c r="E100">
        <v>193</v>
      </c>
      <c r="F100">
        <v>151</v>
      </c>
      <c r="G100">
        <v>166</v>
      </c>
      <c r="H100">
        <v>146</v>
      </c>
      <c r="I100">
        <v>1006</v>
      </c>
    </row>
    <row r="101" spans="1:9" ht="15">
      <c r="A101" t="s">
        <v>96</v>
      </c>
      <c r="B101" t="s">
        <v>98</v>
      </c>
      <c r="D101">
        <v>214</v>
      </c>
      <c r="E101">
        <v>156</v>
      </c>
      <c r="F101">
        <v>208</v>
      </c>
      <c r="G101">
        <v>191</v>
      </c>
      <c r="H101">
        <v>235</v>
      </c>
      <c r="I101">
        <v>1004</v>
      </c>
    </row>
    <row r="102" spans="1:9" ht="15">
      <c r="A102" t="s">
        <v>230</v>
      </c>
      <c r="B102" t="s">
        <v>233</v>
      </c>
      <c r="D102">
        <v>201</v>
      </c>
      <c r="E102">
        <v>185</v>
      </c>
      <c r="F102">
        <v>212</v>
      </c>
      <c r="G102">
        <v>185</v>
      </c>
      <c r="H102">
        <v>216</v>
      </c>
      <c r="I102">
        <v>999</v>
      </c>
    </row>
    <row r="103" spans="1:9" ht="15">
      <c r="A103" t="s">
        <v>271</v>
      </c>
      <c r="B103" t="s">
        <v>273</v>
      </c>
      <c r="C103">
        <v>185</v>
      </c>
      <c r="D103">
        <v>152</v>
      </c>
      <c r="E103">
        <v>186</v>
      </c>
      <c r="F103">
        <v>168</v>
      </c>
      <c r="G103">
        <v>143</v>
      </c>
      <c r="H103">
        <v>161</v>
      </c>
      <c r="I103">
        <v>995</v>
      </c>
    </row>
    <row r="104" spans="1:9" ht="15">
      <c r="A104" t="s">
        <v>42</v>
      </c>
      <c r="B104" t="s">
        <v>43</v>
      </c>
      <c r="C104">
        <v>131</v>
      </c>
      <c r="D104">
        <v>200</v>
      </c>
      <c r="E104">
        <v>212</v>
      </c>
      <c r="F104">
        <v>146</v>
      </c>
      <c r="G104">
        <v>140</v>
      </c>
      <c r="H104">
        <v>165</v>
      </c>
      <c r="I104">
        <v>994</v>
      </c>
    </row>
    <row r="105" spans="1:9" ht="15">
      <c r="A105" t="s">
        <v>17</v>
      </c>
      <c r="B105" t="s">
        <v>24</v>
      </c>
      <c r="C105">
        <v>167</v>
      </c>
      <c r="D105">
        <v>159</v>
      </c>
      <c r="E105">
        <v>165</v>
      </c>
      <c r="F105">
        <v>144</v>
      </c>
      <c r="G105">
        <v>167</v>
      </c>
      <c r="H105">
        <v>189</v>
      </c>
      <c r="I105">
        <v>991</v>
      </c>
    </row>
    <row r="106" spans="1:9" ht="15">
      <c r="A106" t="s">
        <v>170</v>
      </c>
      <c r="B106" t="s">
        <v>184</v>
      </c>
      <c r="C106">
        <v>200</v>
      </c>
      <c r="D106">
        <v>138</v>
      </c>
      <c r="E106">
        <v>130</v>
      </c>
      <c r="F106">
        <v>158</v>
      </c>
      <c r="G106">
        <v>182</v>
      </c>
      <c r="H106">
        <v>180</v>
      </c>
      <c r="I106">
        <v>988</v>
      </c>
    </row>
    <row r="107" spans="1:9" ht="15">
      <c r="A107" t="s">
        <v>263</v>
      </c>
      <c r="B107" t="s">
        <v>267</v>
      </c>
      <c r="C107">
        <v>155</v>
      </c>
      <c r="D107">
        <v>151</v>
      </c>
      <c r="E107">
        <v>183</v>
      </c>
      <c r="F107">
        <v>178</v>
      </c>
      <c r="G107">
        <v>149</v>
      </c>
      <c r="H107">
        <v>146</v>
      </c>
      <c r="I107">
        <v>962</v>
      </c>
    </row>
    <row r="108" spans="1:9" ht="15">
      <c r="A108" t="s">
        <v>108</v>
      </c>
      <c r="B108" t="s">
        <v>109</v>
      </c>
      <c r="C108">
        <v>168</v>
      </c>
      <c r="D108">
        <v>181</v>
      </c>
      <c r="E108">
        <v>179</v>
      </c>
      <c r="G108">
        <v>202</v>
      </c>
      <c r="H108">
        <v>224</v>
      </c>
      <c r="I108">
        <v>954</v>
      </c>
    </row>
    <row r="109" spans="1:9" ht="15">
      <c r="A109" t="s">
        <v>12</v>
      </c>
      <c r="B109" t="s">
        <v>605</v>
      </c>
      <c r="C109">
        <v>143</v>
      </c>
      <c r="D109">
        <v>140</v>
      </c>
      <c r="E109">
        <v>157</v>
      </c>
      <c r="F109">
        <v>169</v>
      </c>
      <c r="G109">
        <v>175</v>
      </c>
      <c r="H109">
        <v>169</v>
      </c>
      <c r="I109">
        <v>953</v>
      </c>
    </row>
    <row r="110" spans="1:9" ht="15">
      <c r="A110" t="s">
        <v>578</v>
      </c>
      <c r="B110" t="s">
        <v>198</v>
      </c>
      <c r="C110">
        <v>172</v>
      </c>
      <c r="D110">
        <v>165</v>
      </c>
      <c r="F110">
        <v>223</v>
      </c>
      <c r="G110">
        <v>199</v>
      </c>
      <c r="H110">
        <v>190</v>
      </c>
      <c r="I110">
        <v>949</v>
      </c>
    </row>
    <row r="111" spans="1:9" ht="15">
      <c r="A111" t="s">
        <v>656</v>
      </c>
      <c r="B111" t="s">
        <v>602</v>
      </c>
      <c r="C111">
        <v>140</v>
      </c>
      <c r="E111">
        <v>192</v>
      </c>
      <c r="F111">
        <v>201</v>
      </c>
      <c r="G111">
        <v>245</v>
      </c>
      <c r="H111">
        <v>169</v>
      </c>
      <c r="I111">
        <v>947</v>
      </c>
    </row>
    <row r="112" spans="1:9" ht="15">
      <c r="A112" t="s">
        <v>172</v>
      </c>
      <c r="B112" t="s">
        <v>171</v>
      </c>
      <c r="C112">
        <v>131</v>
      </c>
      <c r="D112">
        <v>150</v>
      </c>
      <c r="E112">
        <v>159</v>
      </c>
      <c r="F112">
        <v>173</v>
      </c>
      <c r="G112">
        <v>128</v>
      </c>
      <c r="H112">
        <v>199</v>
      </c>
      <c r="I112">
        <v>940</v>
      </c>
    </row>
    <row r="113" spans="1:9" ht="15">
      <c r="A113" t="s">
        <v>263</v>
      </c>
      <c r="B113" t="s">
        <v>264</v>
      </c>
      <c r="C113">
        <v>139</v>
      </c>
      <c r="D113">
        <v>146</v>
      </c>
      <c r="E113">
        <v>154</v>
      </c>
      <c r="F113">
        <v>104</v>
      </c>
      <c r="G113">
        <v>233</v>
      </c>
      <c r="H113">
        <v>164</v>
      </c>
      <c r="I113">
        <v>940</v>
      </c>
    </row>
    <row r="114" spans="1:9" ht="15">
      <c r="A114" t="s">
        <v>172</v>
      </c>
      <c r="B114" t="s">
        <v>173</v>
      </c>
      <c r="C114">
        <v>129</v>
      </c>
      <c r="D114">
        <v>154</v>
      </c>
      <c r="E114">
        <v>194</v>
      </c>
      <c r="F114">
        <v>137</v>
      </c>
      <c r="G114">
        <v>174</v>
      </c>
      <c r="H114">
        <v>149</v>
      </c>
      <c r="I114">
        <v>937</v>
      </c>
    </row>
    <row r="115" spans="1:9" ht="15">
      <c r="A115" t="s">
        <v>88</v>
      </c>
      <c r="B115" t="s">
        <v>95</v>
      </c>
      <c r="C115">
        <v>197</v>
      </c>
      <c r="D115">
        <v>158</v>
      </c>
      <c r="F115">
        <v>153</v>
      </c>
      <c r="G115">
        <v>200</v>
      </c>
      <c r="H115">
        <v>228</v>
      </c>
      <c r="I115">
        <v>936</v>
      </c>
    </row>
    <row r="116" spans="1:9" ht="15">
      <c r="A116" t="s">
        <v>246</v>
      </c>
      <c r="B116" t="s">
        <v>253</v>
      </c>
      <c r="C116">
        <v>152</v>
      </c>
      <c r="D116">
        <v>185</v>
      </c>
      <c r="E116">
        <v>144</v>
      </c>
      <c r="F116">
        <v>184</v>
      </c>
      <c r="G116">
        <v>134</v>
      </c>
      <c r="H116">
        <v>137</v>
      </c>
      <c r="I116">
        <v>936</v>
      </c>
    </row>
    <row r="117" spans="1:9" ht="15">
      <c r="A117" t="s">
        <v>263</v>
      </c>
      <c r="B117" t="s">
        <v>269</v>
      </c>
      <c r="C117">
        <v>135</v>
      </c>
      <c r="D117">
        <v>134</v>
      </c>
      <c r="E117">
        <v>134</v>
      </c>
      <c r="F117">
        <v>163</v>
      </c>
      <c r="G117">
        <v>201</v>
      </c>
      <c r="H117">
        <v>165</v>
      </c>
      <c r="I117">
        <v>932</v>
      </c>
    </row>
    <row r="118" spans="1:9" ht="15">
      <c r="A118" t="s">
        <v>87</v>
      </c>
      <c r="B118" t="s">
        <v>565</v>
      </c>
      <c r="C118">
        <v>180</v>
      </c>
      <c r="D118">
        <v>195</v>
      </c>
      <c r="E118">
        <v>182</v>
      </c>
      <c r="F118">
        <v>199</v>
      </c>
      <c r="G118">
        <v>174</v>
      </c>
      <c r="I118">
        <v>930</v>
      </c>
    </row>
    <row r="119" spans="1:9" ht="15">
      <c r="A119" t="s">
        <v>116</v>
      </c>
      <c r="B119" t="s">
        <v>117</v>
      </c>
      <c r="C119">
        <v>179</v>
      </c>
      <c r="D119">
        <v>188</v>
      </c>
      <c r="E119">
        <v>168</v>
      </c>
      <c r="F119">
        <v>230</v>
      </c>
      <c r="G119">
        <v>149</v>
      </c>
      <c r="I119">
        <v>914</v>
      </c>
    </row>
    <row r="120" spans="1:9" ht="15">
      <c r="A120" t="s">
        <v>309</v>
      </c>
      <c r="B120" t="s">
        <v>312</v>
      </c>
      <c r="C120">
        <v>175</v>
      </c>
      <c r="E120">
        <v>171</v>
      </c>
      <c r="F120">
        <v>193</v>
      </c>
      <c r="G120">
        <v>164</v>
      </c>
      <c r="H120">
        <v>210</v>
      </c>
      <c r="I120">
        <v>913</v>
      </c>
    </row>
    <row r="121" spans="1:9" ht="15">
      <c r="A121" t="s">
        <v>144</v>
      </c>
      <c r="B121" t="s">
        <v>152</v>
      </c>
      <c r="E121">
        <v>232</v>
      </c>
      <c r="F121">
        <v>236</v>
      </c>
      <c r="G121">
        <v>219</v>
      </c>
      <c r="H121">
        <v>214</v>
      </c>
      <c r="I121">
        <v>901</v>
      </c>
    </row>
    <row r="122" spans="1:9" ht="15">
      <c r="A122" t="s">
        <v>26</v>
      </c>
      <c r="B122" t="s">
        <v>28</v>
      </c>
      <c r="C122">
        <v>167</v>
      </c>
      <c r="D122">
        <v>142</v>
      </c>
      <c r="E122">
        <v>118</v>
      </c>
      <c r="F122">
        <v>152</v>
      </c>
      <c r="G122">
        <v>200</v>
      </c>
      <c r="H122">
        <v>119</v>
      </c>
      <c r="I122">
        <v>898</v>
      </c>
    </row>
    <row r="123" spans="1:9" ht="15">
      <c r="A123" t="s">
        <v>246</v>
      </c>
      <c r="B123" t="s">
        <v>248</v>
      </c>
      <c r="C123">
        <v>106</v>
      </c>
      <c r="D123">
        <v>172</v>
      </c>
      <c r="E123">
        <v>151</v>
      </c>
      <c r="F123">
        <v>169</v>
      </c>
      <c r="G123">
        <v>125</v>
      </c>
      <c r="H123">
        <v>166</v>
      </c>
      <c r="I123">
        <v>889</v>
      </c>
    </row>
    <row r="124" spans="1:9" ht="15">
      <c r="A124" t="s">
        <v>110</v>
      </c>
      <c r="B124" t="s">
        <v>120</v>
      </c>
      <c r="D124">
        <v>165</v>
      </c>
      <c r="E124">
        <v>174</v>
      </c>
      <c r="F124">
        <v>202</v>
      </c>
      <c r="G124">
        <v>171</v>
      </c>
      <c r="H124">
        <v>176</v>
      </c>
      <c r="I124">
        <v>888</v>
      </c>
    </row>
    <row r="125" spans="1:9" ht="15">
      <c r="A125" t="s">
        <v>207</v>
      </c>
      <c r="B125" t="s">
        <v>208</v>
      </c>
      <c r="C125">
        <v>163</v>
      </c>
      <c r="D125">
        <v>177</v>
      </c>
      <c r="E125">
        <v>140</v>
      </c>
      <c r="F125">
        <v>167</v>
      </c>
      <c r="G125">
        <v>122</v>
      </c>
      <c r="H125">
        <v>115</v>
      </c>
      <c r="I125">
        <v>884</v>
      </c>
    </row>
    <row r="126" spans="1:9" ht="15">
      <c r="A126" t="s">
        <v>48</v>
      </c>
      <c r="B126" t="s">
        <v>52</v>
      </c>
      <c r="C126">
        <v>143</v>
      </c>
      <c r="D126">
        <v>183</v>
      </c>
      <c r="E126">
        <v>152</v>
      </c>
      <c r="G126">
        <v>205</v>
      </c>
      <c r="H126">
        <v>200</v>
      </c>
      <c r="I126">
        <v>883</v>
      </c>
    </row>
    <row r="127" spans="1:9" ht="15">
      <c r="A127" t="s">
        <v>172</v>
      </c>
      <c r="B127" t="s">
        <v>586</v>
      </c>
      <c r="C127">
        <v>145</v>
      </c>
      <c r="D127">
        <v>141</v>
      </c>
      <c r="E127">
        <v>162</v>
      </c>
      <c r="F127">
        <v>161</v>
      </c>
      <c r="G127">
        <v>125</v>
      </c>
      <c r="H127">
        <v>148</v>
      </c>
      <c r="I127">
        <v>882</v>
      </c>
    </row>
    <row r="128" spans="1:9" ht="15">
      <c r="A128" t="s">
        <v>88</v>
      </c>
      <c r="B128" t="s">
        <v>89</v>
      </c>
      <c r="C128">
        <v>186</v>
      </c>
      <c r="D128">
        <v>162</v>
      </c>
      <c r="E128">
        <v>143</v>
      </c>
      <c r="G128">
        <v>177</v>
      </c>
      <c r="H128">
        <v>212</v>
      </c>
      <c r="I128">
        <v>880</v>
      </c>
    </row>
    <row r="129" spans="1:9" ht="15">
      <c r="A129" t="s">
        <v>26</v>
      </c>
      <c r="B129" t="s">
        <v>29</v>
      </c>
      <c r="C129">
        <v>156</v>
      </c>
      <c r="D129">
        <v>211</v>
      </c>
      <c r="E129">
        <v>148</v>
      </c>
      <c r="F129">
        <v>115</v>
      </c>
      <c r="G129">
        <v>122</v>
      </c>
      <c r="H129">
        <v>127</v>
      </c>
      <c r="I129">
        <v>879</v>
      </c>
    </row>
    <row r="130" spans="1:9" ht="15">
      <c r="A130" t="s">
        <v>79</v>
      </c>
      <c r="B130" t="s">
        <v>81</v>
      </c>
      <c r="C130">
        <v>166</v>
      </c>
      <c r="E130">
        <v>175</v>
      </c>
      <c r="F130">
        <v>198</v>
      </c>
      <c r="G130">
        <v>158</v>
      </c>
      <c r="H130">
        <v>182</v>
      </c>
      <c r="I130">
        <v>879</v>
      </c>
    </row>
    <row r="131" spans="1:9" ht="15">
      <c r="A131" t="s">
        <v>309</v>
      </c>
      <c r="B131" t="s">
        <v>313</v>
      </c>
      <c r="C131">
        <v>181</v>
      </c>
      <c r="D131">
        <v>175</v>
      </c>
      <c r="E131">
        <v>185</v>
      </c>
      <c r="F131">
        <v>178</v>
      </c>
      <c r="G131">
        <v>159</v>
      </c>
      <c r="I131">
        <v>878</v>
      </c>
    </row>
    <row r="132" spans="1:9" ht="15">
      <c r="A132" t="s">
        <v>79</v>
      </c>
      <c r="B132" t="s">
        <v>84</v>
      </c>
      <c r="D132">
        <v>176</v>
      </c>
      <c r="E132">
        <v>173</v>
      </c>
      <c r="F132">
        <v>146</v>
      </c>
      <c r="G132">
        <v>207</v>
      </c>
      <c r="H132">
        <v>171</v>
      </c>
      <c r="I132">
        <v>873</v>
      </c>
    </row>
    <row r="133" spans="1:9" ht="15">
      <c r="A133" t="s">
        <v>648</v>
      </c>
      <c r="B133" t="s">
        <v>297</v>
      </c>
      <c r="C133">
        <v>177</v>
      </c>
      <c r="D133">
        <v>153</v>
      </c>
      <c r="F133">
        <v>195</v>
      </c>
      <c r="G133">
        <v>190</v>
      </c>
      <c r="H133">
        <v>158</v>
      </c>
      <c r="I133">
        <v>873</v>
      </c>
    </row>
    <row r="134" spans="1:9" ht="15">
      <c r="A134" t="s">
        <v>278</v>
      </c>
      <c r="B134" t="s">
        <v>281</v>
      </c>
      <c r="C134">
        <v>204</v>
      </c>
      <c r="D134">
        <v>177</v>
      </c>
      <c r="E134">
        <v>197</v>
      </c>
      <c r="F134">
        <v>159</v>
      </c>
      <c r="G134">
        <v>134</v>
      </c>
      <c r="I134">
        <v>871</v>
      </c>
    </row>
    <row r="135" spans="1:9" ht="15">
      <c r="A135" t="s">
        <v>153</v>
      </c>
      <c r="B135" t="s">
        <v>160</v>
      </c>
      <c r="D135">
        <v>199</v>
      </c>
      <c r="E135">
        <v>172</v>
      </c>
      <c r="F135">
        <v>178</v>
      </c>
      <c r="G135">
        <v>167</v>
      </c>
      <c r="H135">
        <v>147</v>
      </c>
      <c r="I135">
        <v>863</v>
      </c>
    </row>
    <row r="136" spans="1:9" ht="15">
      <c r="A136" t="s">
        <v>106</v>
      </c>
      <c r="B136" t="s">
        <v>107</v>
      </c>
      <c r="D136">
        <v>157</v>
      </c>
      <c r="F136">
        <v>220</v>
      </c>
      <c r="G136">
        <v>228</v>
      </c>
      <c r="H136">
        <v>255</v>
      </c>
      <c r="I136">
        <v>860</v>
      </c>
    </row>
    <row r="137" spans="1:9" ht="15">
      <c r="A137" t="s">
        <v>172</v>
      </c>
      <c r="B137" t="s">
        <v>175</v>
      </c>
      <c r="C137">
        <v>163</v>
      </c>
      <c r="D137">
        <v>149</v>
      </c>
      <c r="E137">
        <v>172</v>
      </c>
      <c r="F137">
        <v>126</v>
      </c>
      <c r="G137">
        <v>125</v>
      </c>
      <c r="H137">
        <v>123</v>
      </c>
      <c r="I137">
        <v>858</v>
      </c>
    </row>
    <row r="138" spans="1:9" ht="15">
      <c r="A138" t="s">
        <v>96</v>
      </c>
      <c r="B138" t="s">
        <v>101</v>
      </c>
      <c r="E138">
        <v>189</v>
      </c>
      <c r="F138">
        <v>220</v>
      </c>
      <c r="G138">
        <v>193</v>
      </c>
      <c r="H138">
        <v>244</v>
      </c>
      <c r="I138">
        <v>846</v>
      </c>
    </row>
    <row r="139" spans="1:9" ht="15">
      <c r="A139" t="s">
        <v>648</v>
      </c>
      <c r="B139" t="s">
        <v>301</v>
      </c>
      <c r="C139">
        <v>163</v>
      </c>
      <c r="D139">
        <v>167</v>
      </c>
      <c r="E139">
        <v>201</v>
      </c>
      <c r="F139">
        <v>169</v>
      </c>
      <c r="G139">
        <v>141</v>
      </c>
      <c r="I139">
        <v>841</v>
      </c>
    </row>
    <row r="140" spans="1:9" ht="15">
      <c r="A140" t="s">
        <v>12</v>
      </c>
      <c r="B140" t="s">
        <v>14</v>
      </c>
      <c r="D140">
        <v>161</v>
      </c>
      <c r="E140">
        <v>159</v>
      </c>
      <c r="F140">
        <v>214</v>
      </c>
      <c r="G140">
        <v>135</v>
      </c>
      <c r="H140">
        <v>166</v>
      </c>
      <c r="I140">
        <v>835</v>
      </c>
    </row>
    <row r="141" spans="1:9" ht="15">
      <c r="A141" t="s">
        <v>648</v>
      </c>
      <c r="B141" t="s">
        <v>296</v>
      </c>
      <c r="E141">
        <v>210</v>
      </c>
      <c r="F141">
        <v>226</v>
      </c>
      <c r="G141">
        <v>186</v>
      </c>
      <c r="H141">
        <v>203</v>
      </c>
      <c r="I141">
        <v>825</v>
      </c>
    </row>
    <row r="142" spans="1:9" ht="15">
      <c r="A142" t="s">
        <v>238</v>
      </c>
      <c r="B142" t="s">
        <v>245</v>
      </c>
      <c r="C142">
        <v>200</v>
      </c>
      <c r="D142">
        <v>154</v>
      </c>
      <c r="E142">
        <v>159</v>
      </c>
      <c r="F142">
        <v>144</v>
      </c>
      <c r="H142">
        <v>165</v>
      </c>
      <c r="I142">
        <v>822</v>
      </c>
    </row>
    <row r="143" spans="1:9" ht="15">
      <c r="A143" t="s">
        <v>153</v>
      </c>
      <c r="B143" t="s">
        <v>155</v>
      </c>
      <c r="C143">
        <v>177</v>
      </c>
      <c r="D143">
        <v>174</v>
      </c>
      <c r="E143">
        <v>192</v>
      </c>
      <c r="F143">
        <v>133</v>
      </c>
      <c r="H143">
        <v>142</v>
      </c>
      <c r="I143">
        <v>818</v>
      </c>
    </row>
    <row r="144" spans="1:9" ht="15">
      <c r="A144" t="s">
        <v>316</v>
      </c>
      <c r="B144" t="s">
        <v>324</v>
      </c>
      <c r="E144">
        <v>244</v>
      </c>
      <c r="F144">
        <v>191</v>
      </c>
      <c r="G144">
        <v>179</v>
      </c>
      <c r="H144">
        <v>201</v>
      </c>
      <c r="I144">
        <v>815</v>
      </c>
    </row>
    <row r="145" spans="1:9" ht="15">
      <c r="A145" t="s">
        <v>612</v>
      </c>
      <c r="B145" t="s">
        <v>213</v>
      </c>
      <c r="C145">
        <v>141</v>
      </c>
      <c r="D145">
        <v>182</v>
      </c>
      <c r="E145">
        <v>173</v>
      </c>
      <c r="F145">
        <v>146</v>
      </c>
      <c r="G145">
        <v>166</v>
      </c>
      <c r="I145">
        <v>808</v>
      </c>
    </row>
    <row r="146" spans="1:9" ht="15">
      <c r="A146" t="s">
        <v>170</v>
      </c>
      <c r="B146" t="s">
        <v>179</v>
      </c>
      <c r="C146">
        <v>160</v>
      </c>
      <c r="D146">
        <v>148</v>
      </c>
      <c r="E146">
        <v>145</v>
      </c>
      <c r="F146">
        <v>121</v>
      </c>
      <c r="G146">
        <v>114</v>
      </c>
      <c r="H146">
        <v>118</v>
      </c>
      <c r="I146">
        <v>806</v>
      </c>
    </row>
    <row r="147" spans="1:9" ht="15">
      <c r="A147" t="s">
        <v>263</v>
      </c>
      <c r="B147" t="s">
        <v>270</v>
      </c>
      <c r="C147">
        <v>128</v>
      </c>
      <c r="D147">
        <v>133</v>
      </c>
      <c r="E147">
        <v>113</v>
      </c>
      <c r="F147">
        <v>124</v>
      </c>
      <c r="G147">
        <v>170</v>
      </c>
      <c r="H147">
        <v>138</v>
      </c>
      <c r="I147">
        <v>806</v>
      </c>
    </row>
    <row r="148" spans="1:9" ht="15">
      <c r="A148" t="s">
        <v>612</v>
      </c>
      <c r="B148" t="s">
        <v>218</v>
      </c>
      <c r="C148">
        <v>131</v>
      </c>
      <c r="D148">
        <v>177</v>
      </c>
      <c r="E148">
        <v>192</v>
      </c>
      <c r="F148">
        <v>137</v>
      </c>
      <c r="G148">
        <v>163</v>
      </c>
      <c r="I148">
        <v>800</v>
      </c>
    </row>
    <row r="149" spans="1:9" ht="15">
      <c r="A149" t="s">
        <v>309</v>
      </c>
      <c r="B149" t="s">
        <v>315</v>
      </c>
      <c r="C149">
        <v>179</v>
      </c>
      <c r="D149">
        <v>179</v>
      </c>
      <c r="E149">
        <v>114</v>
      </c>
      <c r="G149">
        <v>201</v>
      </c>
      <c r="H149">
        <v>127</v>
      </c>
      <c r="I149">
        <v>800</v>
      </c>
    </row>
    <row r="150" spans="1:9" ht="15">
      <c r="A150" t="s">
        <v>172</v>
      </c>
      <c r="B150" t="s">
        <v>177</v>
      </c>
      <c r="C150">
        <v>145</v>
      </c>
      <c r="D150">
        <v>130</v>
      </c>
      <c r="E150">
        <v>140</v>
      </c>
      <c r="F150">
        <v>150</v>
      </c>
      <c r="G150">
        <v>103</v>
      </c>
      <c r="H150">
        <v>131</v>
      </c>
      <c r="I150">
        <v>799</v>
      </c>
    </row>
    <row r="151" spans="1:9" ht="15">
      <c r="A151" t="s">
        <v>255</v>
      </c>
      <c r="B151" t="s">
        <v>258</v>
      </c>
      <c r="C151">
        <v>146</v>
      </c>
      <c r="D151">
        <v>183</v>
      </c>
      <c r="E151">
        <v>148</v>
      </c>
      <c r="F151">
        <v>137</v>
      </c>
      <c r="H151">
        <v>185</v>
      </c>
      <c r="I151">
        <v>799</v>
      </c>
    </row>
    <row r="152" spans="1:9" ht="15">
      <c r="A152" t="s">
        <v>255</v>
      </c>
      <c r="B152" t="s">
        <v>259</v>
      </c>
      <c r="C152">
        <v>143</v>
      </c>
      <c r="D152">
        <v>182</v>
      </c>
      <c r="E152">
        <v>191</v>
      </c>
      <c r="F152">
        <v>114</v>
      </c>
      <c r="G152">
        <v>169</v>
      </c>
      <c r="I152">
        <v>799</v>
      </c>
    </row>
    <row r="153" spans="1:9" ht="15">
      <c r="A153" t="s">
        <v>263</v>
      </c>
      <c r="B153" t="s">
        <v>268</v>
      </c>
      <c r="C153">
        <v>158</v>
      </c>
      <c r="D153">
        <v>122</v>
      </c>
      <c r="E153">
        <v>134</v>
      </c>
      <c r="F153">
        <v>101</v>
      </c>
      <c r="G153">
        <v>169</v>
      </c>
      <c r="H153">
        <v>113</v>
      </c>
      <c r="I153">
        <v>797</v>
      </c>
    </row>
    <row r="154" spans="1:9" ht="15">
      <c r="A154" t="s">
        <v>135</v>
      </c>
      <c r="B154" t="s">
        <v>137</v>
      </c>
      <c r="C154">
        <v>149</v>
      </c>
      <c r="D154">
        <v>180</v>
      </c>
      <c r="E154">
        <v>146</v>
      </c>
      <c r="F154">
        <v>159</v>
      </c>
      <c r="H154">
        <v>162</v>
      </c>
      <c r="I154">
        <v>796</v>
      </c>
    </row>
    <row r="155" spans="1:9" ht="15">
      <c r="A155" t="s">
        <v>135</v>
      </c>
      <c r="B155" t="s">
        <v>138</v>
      </c>
      <c r="C155">
        <v>176</v>
      </c>
      <c r="E155">
        <v>158</v>
      </c>
      <c r="F155">
        <v>178</v>
      </c>
      <c r="G155">
        <v>155</v>
      </c>
      <c r="H155">
        <v>128</v>
      </c>
      <c r="I155">
        <v>795</v>
      </c>
    </row>
    <row r="156" spans="1:9" ht="15">
      <c r="A156" t="s">
        <v>325</v>
      </c>
      <c r="B156" t="s">
        <v>329</v>
      </c>
      <c r="C156">
        <v>143</v>
      </c>
      <c r="D156">
        <v>199</v>
      </c>
      <c r="E156">
        <v>161</v>
      </c>
      <c r="F156">
        <v>151</v>
      </c>
      <c r="G156">
        <v>132</v>
      </c>
      <c r="I156">
        <v>786</v>
      </c>
    </row>
    <row r="157" spans="1:9" ht="15">
      <c r="A157" t="s">
        <v>302</v>
      </c>
      <c r="B157" t="s">
        <v>303</v>
      </c>
      <c r="C157">
        <v>212</v>
      </c>
      <c r="D157">
        <v>196</v>
      </c>
      <c r="E157">
        <v>223</v>
      </c>
      <c r="F157">
        <v>149</v>
      </c>
      <c r="I157">
        <v>780</v>
      </c>
    </row>
    <row r="158" spans="1:9" ht="15">
      <c r="A158" t="s">
        <v>238</v>
      </c>
      <c r="B158" t="s">
        <v>243</v>
      </c>
      <c r="C158">
        <v>173</v>
      </c>
      <c r="D158">
        <v>137</v>
      </c>
      <c r="F158">
        <v>134</v>
      </c>
      <c r="G158">
        <v>161</v>
      </c>
      <c r="H158">
        <v>168</v>
      </c>
      <c r="I158">
        <v>773</v>
      </c>
    </row>
    <row r="159" spans="1:9" ht="15">
      <c r="A159" t="s">
        <v>48</v>
      </c>
      <c r="B159" t="s">
        <v>49</v>
      </c>
      <c r="C159">
        <v>189</v>
      </c>
      <c r="D159">
        <v>114</v>
      </c>
      <c r="E159">
        <v>193</v>
      </c>
      <c r="F159">
        <v>146</v>
      </c>
      <c r="G159">
        <v>126</v>
      </c>
      <c r="I159">
        <v>768</v>
      </c>
    </row>
    <row r="160" spans="1:9" ht="15">
      <c r="A160" t="s">
        <v>578</v>
      </c>
      <c r="B160" t="s">
        <v>199</v>
      </c>
      <c r="C160">
        <v>165</v>
      </c>
      <c r="E160">
        <v>225</v>
      </c>
      <c r="F160">
        <v>213</v>
      </c>
      <c r="G160">
        <v>162</v>
      </c>
      <c r="I160">
        <v>765</v>
      </c>
    </row>
    <row r="161" spans="1:9" ht="15">
      <c r="A161" t="s">
        <v>612</v>
      </c>
      <c r="B161" t="s">
        <v>214</v>
      </c>
      <c r="C161">
        <v>181</v>
      </c>
      <c r="D161">
        <v>181</v>
      </c>
      <c r="E161">
        <v>142</v>
      </c>
      <c r="G161">
        <v>148</v>
      </c>
      <c r="H161">
        <v>110</v>
      </c>
      <c r="I161">
        <v>762</v>
      </c>
    </row>
    <row r="162" spans="1:9" ht="15">
      <c r="A162" t="s">
        <v>135</v>
      </c>
      <c r="B162" t="s">
        <v>140</v>
      </c>
      <c r="D162">
        <v>169</v>
      </c>
      <c r="E162">
        <v>203</v>
      </c>
      <c r="F162">
        <v>201</v>
      </c>
      <c r="G162">
        <v>188</v>
      </c>
      <c r="I162">
        <v>761</v>
      </c>
    </row>
    <row r="163" spans="1:9" ht="15">
      <c r="A163" t="s">
        <v>87</v>
      </c>
      <c r="B163" t="s">
        <v>560</v>
      </c>
      <c r="C163">
        <v>169</v>
      </c>
      <c r="D163">
        <v>156</v>
      </c>
      <c r="G163">
        <v>211</v>
      </c>
      <c r="H163">
        <v>217</v>
      </c>
      <c r="I163">
        <v>753</v>
      </c>
    </row>
    <row r="164" spans="1:9" ht="15">
      <c r="A164" t="s">
        <v>246</v>
      </c>
      <c r="B164" t="s">
        <v>247</v>
      </c>
      <c r="C164">
        <v>150</v>
      </c>
      <c r="D164">
        <v>172</v>
      </c>
      <c r="E164">
        <v>165</v>
      </c>
      <c r="F164">
        <v>147</v>
      </c>
      <c r="G164">
        <v>117</v>
      </c>
      <c r="I164">
        <v>751</v>
      </c>
    </row>
    <row r="165" spans="1:9" ht="15">
      <c r="A165" t="s">
        <v>55</v>
      </c>
      <c r="B165" t="s">
        <v>61</v>
      </c>
      <c r="C165">
        <v>124</v>
      </c>
      <c r="D165">
        <v>149</v>
      </c>
      <c r="E165">
        <v>176</v>
      </c>
      <c r="F165">
        <v>135</v>
      </c>
      <c r="H165">
        <v>162</v>
      </c>
      <c r="I165">
        <v>746</v>
      </c>
    </row>
    <row r="166" spans="1:9" ht="15">
      <c r="A166" t="s">
        <v>71</v>
      </c>
      <c r="B166" t="s">
        <v>72</v>
      </c>
      <c r="E166">
        <v>198</v>
      </c>
      <c r="F166">
        <v>159</v>
      </c>
      <c r="G166">
        <v>175</v>
      </c>
      <c r="H166">
        <v>197</v>
      </c>
      <c r="I166">
        <v>729</v>
      </c>
    </row>
    <row r="167" spans="1:9" ht="15">
      <c r="A167" t="s">
        <v>221</v>
      </c>
      <c r="B167" t="s">
        <v>229</v>
      </c>
      <c r="C167">
        <v>203</v>
      </c>
      <c r="D167">
        <v>153</v>
      </c>
      <c r="E167">
        <v>214</v>
      </c>
      <c r="F167">
        <v>155</v>
      </c>
      <c r="I167">
        <v>725</v>
      </c>
    </row>
    <row r="168" spans="1:9" ht="15">
      <c r="A168" t="s">
        <v>647</v>
      </c>
      <c r="B168" t="s">
        <v>294</v>
      </c>
      <c r="E168">
        <v>194</v>
      </c>
      <c r="F168">
        <v>156</v>
      </c>
      <c r="G168">
        <v>207</v>
      </c>
      <c r="H168">
        <v>168</v>
      </c>
      <c r="I168">
        <v>725</v>
      </c>
    </row>
    <row r="169" spans="1:9" ht="15">
      <c r="A169" t="s">
        <v>578</v>
      </c>
      <c r="B169" t="s">
        <v>205</v>
      </c>
      <c r="D169">
        <v>198</v>
      </c>
      <c r="E169">
        <v>188</v>
      </c>
      <c r="F169">
        <v>160</v>
      </c>
      <c r="H169">
        <v>174</v>
      </c>
      <c r="I169">
        <v>720</v>
      </c>
    </row>
    <row r="170" spans="1:9" ht="15">
      <c r="A170" t="s">
        <v>48</v>
      </c>
      <c r="B170" t="s">
        <v>54</v>
      </c>
      <c r="C170">
        <v>148</v>
      </c>
      <c r="D170">
        <v>175</v>
      </c>
      <c r="E170">
        <v>121</v>
      </c>
      <c r="F170">
        <v>154</v>
      </c>
      <c r="H170">
        <v>121</v>
      </c>
      <c r="I170">
        <v>719</v>
      </c>
    </row>
    <row r="171" spans="1:9" ht="15">
      <c r="A171" t="s">
        <v>246</v>
      </c>
      <c r="B171" t="s">
        <v>254</v>
      </c>
      <c r="C171">
        <v>151</v>
      </c>
      <c r="D171">
        <v>147</v>
      </c>
      <c r="F171">
        <v>176</v>
      </c>
      <c r="G171">
        <v>117</v>
      </c>
      <c r="H171">
        <v>128</v>
      </c>
      <c r="I171">
        <v>719</v>
      </c>
    </row>
    <row r="172" spans="1:9" ht="15">
      <c r="A172" t="s">
        <v>316</v>
      </c>
      <c r="B172" t="s">
        <v>319</v>
      </c>
      <c r="E172">
        <v>180</v>
      </c>
      <c r="F172">
        <v>202</v>
      </c>
      <c r="G172">
        <v>154</v>
      </c>
      <c r="H172">
        <v>181</v>
      </c>
      <c r="I172">
        <v>717</v>
      </c>
    </row>
    <row r="173" spans="1:9" ht="15">
      <c r="A173" t="s">
        <v>144</v>
      </c>
      <c r="B173" t="s">
        <v>151</v>
      </c>
      <c r="C173">
        <v>116</v>
      </c>
      <c r="F173">
        <v>205</v>
      </c>
      <c r="G173">
        <v>200</v>
      </c>
      <c r="H173">
        <v>192</v>
      </c>
      <c r="I173">
        <v>713</v>
      </c>
    </row>
    <row r="174" spans="1:9" ht="15">
      <c r="A174" t="s">
        <v>271</v>
      </c>
      <c r="B174" t="s">
        <v>277</v>
      </c>
      <c r="C174">
        <v>147</v>
      </c>
      <c r="D174">
        <v>140</v>
      </c>
      <c r="E174">
        <v>113</v>
      </c>
      <c r="F174">
        <v>90</v>
      </c>
      <c r="G174">
        <v>114</v>
      </c>
      <c r="H174">
        <v>109</v>
      </c>
      <c r="I174">
        <v>713</v>
      </c>
    </row>
    <row r="175" spans="1:9" ht="15">
      <c r="A175" t="s">
        <v>17</v>
      </c>
      <c r="B175" t="s">
        <v>21</v>
      </c>
      <c r="D175">
        <v>238</v>
      </c>
      <c r="E175">
        <v>168</v>
      </c>
      <c r="F175">
        <v>122</v>
      </c>
      <c r="H175">
        <v>182</v>
      </c>
      <c r="I175">
        <v>710</v>
      </c>
    </row>
    <row r="176" spans="1:9" ht="15">
      <c r="A176" t="s">
        <v>12</v>
      </c>
      <c r="B176" t="s">
        <v>13</v>
      </c>
      <c r="C176">
        <v>207</v>
      </c>
      <c r="D176">
        <v>203</v>
      </c>
      <c r="E176">
        <v>171</v>
      </c>
      <c r="F176">
        <v>125</v>
      </c>
      <c r="I176">
        <v>706</v>
      </c>
    </row>
    <row r="177" spans="1:9" ht="15">
      <c r="A177" t="s">
        <v>325</v>
      </c>
      <c r="B177" t="s">
        <v>609</v>
      </c>
      <c r="E177">
        <v>203</v>
      </c>
      <c r="F177">
        <v>162</v>
      </c>
      <c r="G177">
        <v>145</v>
      </c>
      <c r="H177">
        <v>193</v>
      </c>
      <c r="I177">
        <v>703</v>
      </c>
    </row>
    <row r="178" spans="1:9" ht="15">
      <c r="A178" t="s">
        <v>316</v>
      </c>
      <c r="B178" t="s">
        <v>321</v>
      </c>
      <c r="C178">
        <v>179</v>
      </c>
      <c r="D178">
        <v>189</v>
      </c>
      <c r="E178">
        <v>180</v>
      </c>
      <c r="F178">
        <v>150</v>
      </c>
      <c r="I178">
        <v>698</v>
      </c>
    </row>
    <row r="179" spans="1:9" ht="15">
      <c r="A179" t="s">
        <v>87</v>
      </c>
      <c r="B179" t="s">
        <v>561</v>
      </c>
      <c r="C179">
        <v>155</v>
      </c>
      <c r="F179">
        <v>200</v>
      </c>
      <c r="G179">
        <v>178</v>
      </c>
      <c r="H179">
        <v>164</v>
      </c>
      <c r="I179">
        <v>697</v>
      </c>
    </row>
    <row r="180" spans="1:9" ht="15">
      <c r="A180" t="s">
        <v>63</v>
      </c>
      <c r="B180" t="s">
        <v>67</v>
      </c>
      <c r="C180">
        <v>204</v>
      </c>
      <c r="D180">
        <v>141</v>
      </c>
      <c r="F180">
        <v>214</v>
      </c>
      <c r="G180">
        <v>131</v>
      </c>
      <c r="I180">
        <v>690</v>
      </c>
    </row>
    <row r="181" spans="1:9" ht="15">
      <c r="A181" t="s">
        <v>114</v>
      </c>
      <c r="B181" t="s">
        <v>122</v>
      </c>
      <c r="C181">
        <v>182</v>
      </c>
      <c r="D181">
        <v>169</v>
      </c>
      <c r="E181">
        <v>160</v>
      </c>
      <c r="H181">
        <v>179</v>
      </c>
      <c r="I181">
        <v>690</v>
      </c>
    </row>
    <row r="182" spans="1:9" ht="15">
      <c r="A182" t="s">
        <v>71</v>
      </c>
      <c r="B182" t="s">
        <v>78</v>
      </c>
      <c r="C182">
        <v>154</v>
      </c>
      <c r="D182">
        <v>225</v>
      </c>
      <c r="E182">
        <v>181</v>
      </c>
      <c r="F182">
        <v>123</v>
      </c>
      <c r="I182">
        <v>683</v>
      </c>
    </row>
    <row r="183" spans="1:9" ht="15">
      <c r="A183" t="s">
        <v>207</v>
      </c>
      <c r="B183" t="s">
        <v>212</v>
      </c>
      <c r="C183">
        <v>200</v>
      </c>
      <c r="D183">
        <v>114</v>
      </c>
      <c r="E183">
        <v>102</v>
      </c>
      <c r="F183">
        <v>139</v>
      </c>
      <c r="G183">
        <v>57</v>
      </c>
      <c r="H183">
        <v>70</v>
      </c>
      <c r="I183">
        <v>682</v>
      </c>
    </row>
    <row r="184" spans="1:9" ht="15">
      <c r="A184" t="s">
        <v>88</v>
      </c>
      <c r="B184" t="s">
        <v>94</v>
      </c>
      <c r="D184">
        <v>176</v>
      </c>
      <c r="E184">
        <v>169</v>
      </c>
      <c r="F184">
        <v>178</v>
      </c>
      <c r="G184">
        <v>150</v>
      </c>
      <c r="I184">
        <v>673</v>
      </c>
    </row>
    <row r="185" spans="1:9" ht="15">
      <c r="A185" t="s">
        <v>79</v>
      </c>
      <c r="B185" t="s">
        <v>80</v>
      </c>
      <c r="C185">
        <v>209</v>
      </c>
      <c r="D185">
        <v>155</v>
      </c>
      <c r="E185">
        <v>169</v>
      </c>
      <c r="F185">
        <v>136</v>
      </c>
      <c r="I185">
        <v>669</v>
      </c>
    </row>
    <row r="186" spans="1:9" ht="15">
      <c r="A186" t="s">
        <v>88</v>
      </c>
      <c r="B186" t="s">
        <v>90</v>
      </c>
      <c r="C186">
        <v>147</v>
      </c>
      <c r="E186">
        <v>175</v>
      </c>
      <c r="F186">
        <v>176</v>
      </c>
      <c r="H186">
        <v>170</v>
      </c>
      <c r="I186">
        <v>668</v>
      </c>
    </row>
    <row r="187" spans="1:9" ht="15">
      <c r="A187" t="s">
        <v>17</v>
      </c>
      <c r="B187" t="s">
        <v>20</v>
      </c>
      <c r="C187">
        <v>138</v>
      </c>
      <c r="D187">
        <v>173</v>
      </c>
      <c r="E187">
        <v>136</v>
      </c>
      <c r="F187">
        <v>216</v>
      </c>
      <c r="I187">
        <v>663</v>
      </c>
    </row>
    <row r="188" spans="1:9" ht="15">
      <c r="A188" t="s">
        <v>578</v>
      </c>
      <c r="B188" t="s">
        <v>195</v>
      </c>
      <c r="C188">
        <v>152</v>
      </c>
      <c r="E188">
        <v>163</v>
      </c>
      <c r="G188">
        <v>178</v>
      </c>
      <c r="H188">
        <v>167</v>
      </c>
      <c r="I188">
        <v>660</v>
      </c>
    </row>
    <row r="189" spans="1:9" ht="15">
      <c r="A189" t="s">
        <v>55</v>
      </c>
      <c r="B189" t="s">
        <v>58</v>
      </c>
      <c r="C189">
        <v>137</v>
      </c>
      <c r="E189">
        <v>146</v>
      </c>
      <c r="G189">
        <v>188</v>
      </c>
      <c r="H189">
        <v>183</v>
      </c>
      <c r="I189">
        <v>654</v>
      </c>
    </row>
    <row r="190" spans="1:9" ht="15">
      <c r="A190" t="s">
        <v>30</v>
      </c>
      <c r="B190" t="s">
        <v>34</v>
      </c>
      <c r="D190">
        <v>145</v>
      </c>
      <c r="E190">
        <v>152</v>
      </c>
      <c r="G190">
        <v>181</v>
      </c>
      <c r="H190">
        <v>169</v>
      </c>
      <c r="I190">
        <v>647</v>
      </c>
    </row>
    <row r="191" spans="1:9" ht="15">
      <c r="A191" t="s">
        <v>612</v>
      </c>
      <c r="B191" t="s">
        <v>216</v>
      </c>
      <c r="C191">
        <v>148</v>
      </c>
      <c r="E191">
        <v>150</v>
      </c>
      <c r="F191">
        <v>188</v>
      </c>
      <c r="H191">
        <v>154</v>
      </c>
      <c r="I191">
        <v>640</v>
      </c>
    </row>
    <row r="192" spans="1:9" ht="15">
      <c r="A192" t="s">
        <v>26</v>
      </c>
      <c r="B192" t="s">
        <v>582</v>
      </c>
      <c r="C192">
        <v>104</v>
      </c>
      <c r="D192">
        <v>107</v>
      </c>
      <c r="E192">
        <v>93</v>
      </c>
      <c r="F192">
        <v>79</v>
      </c>
      <c r="G192">
        <v>131</v>
      </c>
      <c r="H192">
        <v>125</v>
      </c>
      <c r="I192">
        <v>639</v>
      </c>
    </row>
    <row r="193" spans="1:9" ht="15">
      <c r="A193" t="s">
        <v>26</v>
      </c>
      <c r="B193" t="s">
        <v>583</v>
      </c>
      <c r="C193">
        <v>80</v>
      </c>
      <c r="D193">
        <v>123</v>
      </c>
      <c r="E193">
        <v>95</v>
      </c>
      <c r="F193">
        <v>128</v>
      </c>
      <c r="G193">
        <v>101</v>
      </c>
      <c r="H193">
        <v>110</v>
      </c>
      <c r="I193">
        <v>637</v>
      </c>
    </row>
    <row r="194" spans="1:9" ht="15">
      <c r="A194" t="s">
        <v>221</v>
      </c>
      <c r="B194" t="s">
        <v>227</v>
      </c>
      <c r="F194">
        <v>200</v>
      </c>
      <c r="G194">
        <v>224</v>
      </c>
      <c r="H194">
        <v>209</v>
      </c>
      <c r="I194">
        <v>633</v>
      </c>
    </row>
    <row r="195" spans="1:9" ht="15">
      <c r="A195" t="s">
        <v>88</v>
      </c>
      <c r="B195" t="s">
        <v>92</v>
      </c>
      <c r="C195">
        <v>156</v>
      </c>
      <c r="E195">
        <v>135</v>
      </c>
      <c r="G195">
        <v>186</v>
      </c>
      <c r="H195">
        <v>152</v>
      </c>
      <c r="I195">
        <v>629</v>
      </c>
    </row>
    <row r="196" spans="1:9" ht="15">
      <c r="A196" t="s">
        <v>135</v>
      </c>
      <c r="B196" t="s">
        <v>136</v>
      </c>
      <c r="C196">
        <v>151</v>
      </c>
      <c r="F196">
        <v>154</v>
      </c>
      <c r="G196">
        <v>141</v>
      </c>
      <c r="H196">
        <v>183</v>
      </c>
      <c r="I196">
        <v>629</v>
      </c>
    </row>
    <row r="197" spans="1:9" ht="15">
      <c r="A197" t="s">
        <v>578</v>
      </c>
      <c r="B197" t="s">
        <v>196</v>
      </c>
      <c r="D197">
        <v>147</v>
      </c>
      <c r="F197">
        <v>174</v>
      </c>
      <c r="G197">
        <v>187</v>
      </c>
      <c r="H197">
        <v>121</v>
      </c>
      <c r="I197">
        <v>629</v>
      </c>
    </row>
    <row r="198" spans="1:9" ht="15">
      <c r="A198" t="s">
        <v>255</v>
      </c>
      <c r="B198" t="s">
        <v>260</v>
      </c>
      <c r="C198">
        <v>136</v>
      </c>
      <c r="D198">
        <v>190</v>
      </c>
      <c r="G198">
        <v>161</v>
      </c>
      <c r="H198">
        <v>135</v>
      </c>
      <c r="I198">
        <v>622</v>
      </c>
    </row>
    <row r="199" spans="1:9" ht="15">
      <c r="A199" t="s">
        <v>656</v>
      </c>
      <c r="B199" t="s">
        <v>601</v>
      </c>
      <c r="F199">
        <v>177</v>
      </c>
      <c r="G199">
        <v>178</v>
      </c>
      <c r="H199">
        <v>259</v>
      </c>
      <c r="I199">
        <v>614</v>
      </c>
    </row>
    <row r="200" spans="1:9" ht="15">
      <c r="A200" t="s">
        <v>55</v>
      </c>
      <c r="B200" t="s">
        <v>62</v>
      </c>
      <c r="C200">
        <v>208</v>
      </c>
      <c r="D200">
        <v>122</v>
      </c>
      <c r="F200">
        <v>135</v>
      </c>
      <c r="G200">
        <v>148</v>
      </c>
      <c r="I200">
        <v>613</v>
      </c>
    </row>
    <row r="201" spans="1:9" ht="15">
      <c r="A201" t="s">
        <v>63</v>
      </c>
      <c r="B201" t="s">
        <v>69</v>
      </c>
      <c r="C201">
        <v>156</v>
      </c>
      <c r="D201">
        <v>153</v>
      </c>
      <c r="E201">
        <v>124</v>
      </c>
      <c r="H201">
        <v>175</v>
      </c>
      <c r="I201">
        <v>608</v>
      </c>
    </row>
    <row r="202" spans="1:9" ht="15">
      <c r="A202" t="s">
        <v>79</v>
      </c>
      <c r="B202" t="s">
        <v>85</v>
      </c>
      <c r="C202">
        <v>161</v>
      </c>
      <c r="D202">
        <v>143</v>
      </c>
      <c r="G202">
        <v>144</v>
      </c>
      <c r="H202">
        <v>157</v>
      </c>
      <c r="I202">
        <v>605</v>
      </c>
    </row>
    <row r="203" spans="1:9" ht="15">
      <c r="A203" t="s">
        <v>207</v>
      </c>
      <c r="B203" t="s">
        <v>210</v>
      </c>
      <c r="C203">
        <v>75</v>
      </c>
      <c r="D203">
        <v>110</v>
      </c>
      <c r="E203">
        <v>92</v>
      </c>
      <c r="F203">
        <v>88</v>
      </c>
      <c r="G203">
        <v>114</v>
      </c>
      <c r="H203">
        <v>123</v>
      </c>
      <c r="I203">
        <v>602</v>
      </c>
    </row>
    <row r="204" spans="1:9" ht="15">
      <c r="A204" t="s">
        <v>63</v>
      </c>
      <c r="B204" t="s">
        <v>68</v>
      </c>
      <c r="C204">
        <v>128</v>
      </c>
      <c r="E204">
        <v>175</v>
      </c>
      <c r="F204">
        <v>181</v>
      </c>
      <c r="G204">
        <v>113</v>
      </c>
      <c r="I204">
        <v>597</v>
      </c>
    </row>
    <row r="205" spans="1:9" ht="15">
      <c r="A205" t="s">
        <v>126</v>
      </c>
      <c r="B205" t="s">
        <v>128</v>
      </c>
      <c r="D205">
        <v>130</v>
      </c>
      <c r="E205">
        <v>162</v>
      </c>
      <c r="F205">
        <v>129</v>
      </c>
      <c r="H205">
        <v>174</v>
      </c>
      <c r="I205">
        <v>595</v>
      </c>
    </row>
    <row r="206" spans="1:9" ht="15">
      <c r="A206" t="s">
        <v>17</v>
      </c>
      <c r="B206" t="s">
        <v>19</v>
      </c>
      <c r="C206">
        <v>155</v>
      </c>
      <c r="D206">
        <v>146</v>
      </c>
      <c r="G206">
        <v>146</v>
      </c>
      <c r="H206">
        <v>146</v>
      </c>
      <c r="I206">
        <v>593</v>
      </c>
    </row>
    <row r="207" spans="1:9" ht="15">
      <c r="A207" t="s">
        <v>144</v>
      </c>
      <c r="B207" t="s">
        <v>148</v>
      </c>
      <c r="F207">
        <v>168</v>
      </c>
      <c r="G207">
        <v>246</v>
      </c>
      <c r="H207">
        <v>174</v>
      </c>
      <c r="I207">
        <v>588</v>
      </c>
    </row>
    <row r="208" spans="1:9" ht="15">
      <c r="A208" t="s">
        <v>108</v>
      </c>
      <c r="B208" t="s">
        <v>119</v>
      </c>
      <c r="C208">
        <v>152</v>
      </c>
      <c r="D208">
        <v>133</v>
      </c>
      <c r="F208">
        <v>157</v>
      </c>
      <c r="G208">
        <v>133</v>
      </c>
      <c r="I208">
        <v>575</v>
      </c>
    </row>
    <row r="209" spans="1:9" ht="15">
      <c r="A209" t="s">
        <v>612</v>
      </c>
      <c r="B209" t="s">
        <v>219</v>
      </c>
      <c r="D209">
        <v>172</v>
      </c>
      <c r="E209">
        <v>134</v>
      </c>
      <c r="G209">
        <v>114</v>
      </c>
      <c r="H209">
        <v>151</v>
      </c>
      <c r="I209">
        <v>571</v>
      </c>
    </row>
    <row r="210" spans="1:9" ht="15">
      <c r="A210" t="s">
        <v>271</v>
      </c>
      <c r="B210" t="s">
        <v>274</v>
      </c>
      <c r="C210">
        <v>103</v>
      </c>
      <c r="D210">
        <v>144</v>
      </c>
      <c r="E210">
        <v>86</v>
      </c>
      <c r="F210">
        <v>83</v>
      </c>
      <c r="G210">
        <v>79</v>
      </c>
      <c r="H210">
        <v>71</v>
      </c>
      <c r="I210">
        <v>566</v>
      </c>
    </row>
    <row r="211" spans="1:9" ht="15">
      <c r="A211" t="s">
        <v>578</v>
      </c>
      <c r="B211" t="s">
        <v>200</v>
      </c>
      <c r="C211">
        <v>176</v>
      </c>
      <c r="D211">
        <v>199</v>
      </c>
      <c r="E211">
        <v>177</v>
      </c>
      <c r="I211">
        <v>552</v>
      </c>
    </row>
    <row r="212" spans="1:9" ht="15">
      <c r="A212" t="s">
        <v>579</v>
      </c>
      <c r="B212" t="s">
        <v>203</v>
      </c>
      <c r="C212">
        <v>209</v>
      </c>
      <c r="D212">
        <v>215</v>
      </c>
      <c r="E212">
        <v>125</v>
      </c>
      <c r="I212">
        <v>549</v>
      </c>
    </row>
    <row r="213" spans="1:9" ht="15">
      <c r="A213" t="s">
        <v>657</v>
      </c>
      <c r="B213" t="s">
        <v>591</v>
      </c>
      <c r="C213">
        <v>198</v>
      </c>
      <c r="D213">
        <v>198</v>
      </c>
      <c r="E213">
        <v>153</v>
      </c>
      <c r="I213">
        <v>549</v>
      </c>
    </row>
    <row r="214" spans="1:9" ht="15">
      <c r="A214" t="s">
        <v>657</v>
      </c>
      <c r="B214" t="s">
        <v>593</v>
      </c>
      <c r="F214">
        <v>172</v>
      </c>
      <c r="G214">
        <v>189</v>
      </c>
      <c r="H214">
        <v>188</v>
      </c>
      <c r="I214">
        <v>549</v>
      </c>
    </row>
    <row r="215" spans="1:9" ht="15">
      <c r="A215" t="s">
        <v>612</v>
      </c>
      <c r="B215" t="s">
        <v>217</v>
      </c>
      <c r="C215">
        <v>143</v>
      </c>
      <c r="F215">
        <v>128</v>
      </c>
      <c r="G215">
        <v>107</v>
      </c>
      <c r="H215">
        <v>163</v>
      </c>
      <c r="I215">
        <v>541</v>
      </c>
    </row>
    <row r="216" spans="1:9" ht="15">
      <c r="A216" t="s">
        <v>207</v>
      </c>
      <c r="B216" t="s">
        <v>211</v>
      </c>
      <c r="C216">
        <v>87</v>
      </c>
      <c r="D216">
        <v>82</v>
      </c>
      <c r="E216">
        <v>89</v>
      </c>
      <c r="F216">
        <v>81</v>
      </c>
      <c r="G216">
        <v>103</v>
      </c>
      <c r="H216">
        <v>95</v>
      </c>
      <c r="I216">
        <v>537</v>
      </c>
    </row>
    <row r="217" spans="1:9" ht="15">
      <c r="A217" t="s">
        <v>579</v>
      </c>
      <c r="B217" t="s">
        <v>577</v>
      </c>
      <c r="F217">
        <v>166</v>
      </c>
      <c r="G217">
        <v>195</v>
      </c>
      <c r="H217">
        <v>164</v>
      </c>
      <c r="I217">
        <v>525</v>
      </c>
    </row>
    <row r="218" spans="1:9" ht="15">
      <c r="A218" t="s">
        <v>221</v>
      </c>
      <c r="B218" t="s">
        <v>226</v>
      </c>
      <c r="C218">
        <v>141</v>
      </c>
      <c r="G218">
        <v>174</v>
      </c>
      <c r="H218">
        <v>207</v>
      </c>
      <c r="I218">
        <v>522</v>
      </c>
    </row>
    <row r="219" spans="1:9" ht="15">
      <c r="A219" t="s">
        <v>230</v>
      </c>
      <c r="B219" t="s">
        <v>237</v>
      </c>
      <c r="C219">
        <v>168</v>
      </c>
      <c r="D219">
        <v>211</v>
      </c>
      <c r="E219">
        <v>129</v>
      </c>
      <c r="I219">
        <v>508</v>
      </c>
    </row>
    <row r="220" spans="1:9" ht="15">
      <c r="A220" t="s">
        <v>116</v>
      </c>
      <c r="B220" t="s">
        <v>123</v>
      </c>
      <c r="F220">
        <v>147</v>
      </c>
      <c r="G220">
        <v>174</v>
      </c>
      <c r="H220">
        <v>178</v>
      </c>
      <c r="I220">
        <v>499</v>
      </c>
    </row>
    <row r="221" spans="1:9" ht="15">
      <c r="A221" t="s">
        <v>35</v>
      </c>
      <c r="B221" t="s">
        <v>37</v>
      </c>
      <c r="D221">
        <v>167</v>
      </c>
      <c r="E221">
        <v>162</v>
      </c>
      <c r="G221">
        <v>166</v>
      </c>
      <c r="I221">
        <v>495</v>
      </c>
    </row>
    <row r="222" spans="1:9" ht="15">
      <c r="A222" t="s">
        <v>87</v>
      </c>
      <c r="B222" t="s">
        <v>559</v>
      </c>
      <c r="D222">
        <v>166</v>
      </c>
      <c r="E222">
        <v>179</v>
      </c>
      <c r="H222">
        <v>147</v>
      </c>
      <c r="I222">
        <v>492</v>
      </c>
    </row>
    <row r="223" spans="1:9" ht="15">
      <c r="A223" t="s">
        <v>144</v>
      </c>
      <c r="B223" t="s">
        <v>149</v>
      </c>
      <c r="C223">
        <v>172</v>
      </c>
      <c r="D223">
        <v>134</v>
      </c>
      <c r="E223">
        <v>177</v>
      </c>
      <c r="I223">
        <v>483</v>
      </c>
    </row>
    <row r="224" spans="1:9" ht="15">
      <c r="A224" t="s">
        <v>230</v>
      </c>
      <c r="B224" t="s">
        <v>236</v>
      </c>
      <c r="F224">
        <v>176</v>
      </c>
      <c r="G224">
        <v>167</v>
      </c>
      <c r="H224">
        <v>140</v>
      </c>
      <c r="I224">
        <v>483</v>
      </c>
    </row>
    <row r="225" spans="1:9" ht="15">
      <c r="A225" t="s">
        <v>126</v>
      </c>
      <c r="B225" t="s">
        <v>134</v>
      </c>
      <c r="D225">
        <v>116</v>
      </c>
      <c r="E225">
        <v>134</v>
      </c>
      <c r="G225">
        <v>102</v>
      </c>
      <c r="H225">
        <v>130</v>
      </c>
      <c r="I225">
        <v>482</v>
      </c>
    </row>
    <row r="226" spans="1:9" ht="15">
      <c r="A226" t="s">
        <v>657</v>
      </c>
      <c r="B226" t="s">
        <v>588</v>
      </c>
      <c r="D226">
        <v>158</v>
      </c>
      <c r="G226">
        <v>183</v>
      </c>
      <c r="H226">
        <v>139</v>
      </c>
      <c r="I226">
        <v>480</v>
      </c>
    </row>
    <row r="227" spans="1:9" ht="15">
      <c r="A227" t="s">
        <v>55</v>
      </c>
      <c r="B227" t="s">
        <v>60</v>
      </c>
      <c r="D227">
        <v>159</v>
      </c>
      <c r="E227">
        <v>163</v>
      </c>
      <c r="F227">
        <v>144</v>
      </c>
      <c r="I227">
        <v>466</v>
      </c>
    </row>
    <row r="228" spans="1:9" ht="15">
      <c r="A228" t="s">
        <v>309</v>
      </c>
      <c r="B228" t="s">
        <v>310</v>
      </c>
      <c r="C228">
        <v>0</v>
      </c>
      <c r="D228">
        <v>140</v>
      </c>
      <c r="F228">
        <v>162</v>
      </c>
      <c r="H228">
        <v>158</v>
      </c>
      <c r="I228">
        <v>460</v>
      </c>
    </row>
    <row r="229" spans="1:9" ht="15">
      <c r="A229" t="s">
        <v>612</v>
      </c>
      <c r="B229" t="s">
        <v>220</v>
      </c>
      <c r="D229">
        <v>145</v>
      </c>
      <c r="F229">
        <v>123</v>
      </c>
      <c r="H229">
        <v>182</v>
      </c>
      <c r="I229">
        <v>450</v>
      </c>
    </row>
    <row r="230" spans="1:9" ht="15">
      <c r="A230" t="s">
        <v>238</v>
      </c>
      <c r="B230" t="s">
        <v>242</v>
      </c>
      <c r="E230">
        <v>140</v>
      </c>
      <c r="G230">
        <v>144</v>
      </c>
      <c r="H230">
        <v>164</v>
      </c>
      <c r="I230">
        <v>448</v>
      </c>
    </row>
    <row r="231" spans="1:9" ht="15">
      <c r="A231" t="s">
        <v>578</v>
      </c>
      <c r="B231" t="s">
        <v>197</v>
      </c>
      <c r="D231">
        <v>170</v>
      </c>
      <c r="E231">
        <v>133</v>
      </c>
      <c r="G231">
        <v>142</v>
      </c>
      <c r="I231">
        <v>445</v>
      </c>
    </row>
    <row r="232" spans="1:9" ht="15">
      <c r="A232" t="s">
        <v>246</v>
      </c>
      <c r="B232" t="s">
        <v>251</v>
      </c>
      <c r="C232">
        <v>153</v>
      </c>
      <c r="D232">
        <v>158</v>
      </c>
      <c r="E232">
        <v>130</v>
      </c>
      <c r="I232">
        <v>441</v>
      </c>
    </row>
    <row r="233" spans="1:9" ht="15">
      <c r="A233" t="s">
        <v>238</v>
      </c>
      <c r="B233" t="s">
        <v>244</v>
      </c>
      <c r="C233">
        <v>166</v>
      </c>
      <c r="D233">
        <v>129</v>
      </c>
      <c r="F233">
        <v>142</v>
      </c>
      <c r="I233">
        <v>437</v>
      </c>
    </row>
    <row r="234" spans="1:9" ht="15">
      <c r="A234" t="s">
        <v>35</v>
      </c>
      <c r="B234" t="s">
        <v>39</v>
      </c>
      <c r="C234">
        <v>140</v>
      </c>
      <c r="F234">
        <v>143</v>
      </c>
      <c r="H234">
        <v>152</v>
      </c>
      <c r="I234">
        <v>435</v>
      </c>
    </row>
    <row r="235" spans="1:9" ht="15">
      <c r="A235" t="s">
        <v>648</v>
      </c>
      <c r="B235" t="s">
        <v>298</v>
      </c>
      <c r="C235">
        <v>159</v>
      </c>
      <c r="D235">
        <v>142</v>
      </c>
      <c r="E235">
        <v>126</v>
      </c>
      <c r="I235">
        <v>427</v>
      </c>
    </row>
    <row r="236" spans="1:9" ht="15">
      <c r="A236" t="s">
        <v>278</v>
      </c>
      <c r="B236" t="s">
        <v>284</v>
      </c>
      <c r="D236">
        <v>149</v>
      </c>
      <c r="E236">
        <v>110</v>
      </c>
      <c r="H236">
        <v>154</v>
      </c>
      <c r="I236">
        <v>413</v>
      </c>
    </row>
    <row r="237" spans="1:9" ht="15">
      <c r="A237" t="s">
        <v>17</v>
      </c>
      <c r="B237" t="s">
        <v>22</v>
      </c>
      <c r="E237">
        <v>157</v>
      </c>
      <c r="F237">
        <v>146</v>
      </c>
      <c r="H237">
        <v>108</v>
      </c>
      <c r="I237">
        <v>411</v>
      </c>
    </row>
    <row r="238" spans="1:9" ht="15">
      <c r="A238" t="s">
        <v>325</v>
      </c>
      <c r="B238" t="s">
        <v>327</v>
      </c>
      <c r="C238">
        <v>140</v>
      </c>
      <c r="D238">
        <v>158</v>
      </c>
      <c r="G238">
        <v>110</v>
      </c>
      <c r="I238">
        <v>408</v>
      </c>
    </row>
    <row r="239" spans="1:9" ht="15">
      <c r="A239" t="s">
        <v>578</v>
      </c>
      <c r="B239" t="s">
        <v>201</v>
      </c>
      <c r="C239">
        <v>162</v>
      </c>
      <c r="F239">
        <v>123</v>
      </c>
      <c r="H239">
        <v>121</v>
      </c>
      <c r="I239">
        <v>406</v>
      </c>
    </row>
    <row r="240" spans="1:9" ht="15">
      <c r="A240" t="s">
        <v>302</v>
      </c>
      <c r="B240" t="s">
        <v>306</v>
      </c>
      <c r="G240">
        <v>233</v>
      </c>
      <c r="H240">
        <v>167</v>
      </c>
      <c r="I240">
        <v>400</v>
      </c>
    </row>
    <row r="241" spans="1:9" ht="15">
      <c r="A241" t="s">
        <v>135</v>
      </c>
      <c r="B241" t="s">
        <v>139</v>
      </c>
      <c r="C241">
        <v>113</v>
      </c>
      <c r="E241">
        <v>154</v>
      </c>
      <c r="H241">
        <v>122</v>
      </c>
      <c r="I241">
        <v>389</v>
      </c>
    </row>
    <row r="242" spans="1:9" ht="15">
      <c r="A242" t="s">
        <v>576</v>
      </c>
      <c r="B242" t="s">
        <v>191</v>
      </c>
      <c r="E242">
        <v>211</v>
      </c>
      <c r="F242">
        <v>175</v>
      </c>
      <c r="I242">
        <v>386</v>
      </c>
    </row>
    <row r="243" spans="1:9" ht="15">
      <c r="A243" t="s">
        <v>316</v>
      </c>
      <c r="B243" t="s">
        <v>318</v>
      </c>
      <c r="C243">
        <v>231</v>
      </c>
      <c r="D243">
        <v>139</v>
      </c>
      <c r="I243">
        <v>370</v>
      </c>
    </row>
    <row r="244" spans="1:9" ht="15">
      <c r="A244" t="s">
        <v>110</v>
      </c>
      <c r="B244" t="s">
        <v>111</v>
      </c>
      <c r="C244">
        <v>151</v>
      </c>
      <c r="H244">
        <v>215</v>
      </c>
      <c r="I244">
        <v>366</v>
      </c>
    </row>
    <row r="245" spans="1:9" ht="15">
      <c r="A245" t="s">
        <v>278</v>
      </c>
      <c r="B245" t="s">
        <v>286</v>
      </c>
      <c r="F245">
        <v>211</v>
      </c>
      <c r="G245">
        <v>153</v>
      </c>
      <c r="I245">
        <v>364</v>
      </c>
    </row>
    <row r="246" spans="1:9" ht="15">
      <c r="A246" t="s">
        <v>71</v>
      </c>
      <c r="B246" t="s">
        <v>77</v>
      </c>
      <c r="G246">
        <v>194</v>
      </c>
      <c r="H246">
        <v>168</v>
      </c>
      <c r="I246">
        <v>362</v>
      </c>
    </row>
    <row r="247" spans="1:9" ht="15">
      <c r="A247" t="s">
        <v>87</v>
      </c>
      <c r="B247" t="s">
        <v>564</v>
      </c>
      <c r="E247">
        <v>196</v>
      </c>
      <c r="F247">
        <v>160</v>
      </c>
      <c r="I247">
        <v>356</v>
      </c>
    </row>
    <row r="248" spans="1:9" ht="15">
      <c r="A248" t="s">
        <v>71</v>
      </c>
      <c r="B248" t="s">
        <v>76</v>
      </c>
      <c r="C248">
        <v>219</v>
      </c>
      <c r="D248">
        <v>136</v>
      </c>
      <c r="I248">
        <v>355</v>
      </c>
    </row>
    <row r="249" spans="1:9" ht="15">
      <c r="A249" t="s">
        <v>144</v>
      </c>
      <c r="B249" t="s">
        <v>147</v>
      </c>
      <c r="C249">
        <v>162</v>
      </c>
      <c r="D249">
        <v>193</v>
      </c>
      <c r="I249">
        <v>355</v>
      </c>
    </row>
    <row r="250" spans="1:9" ht="15">
      <c r="A250" t="s">
        <v>647</v>
      </c>
      <c r="B250" t="s">
        <v>293</v>
      </c>
      <c r="C250">
        <v>194</v>
      </c>
      <c r="D250">
        <v>161</v>
      </c>
      <c r="I250">
        <v>355</v>
      </c>
    </row>
    <row r="251" spans="1:9" ht="15">
      <c r="A251" t="s">
        <v>12</v>
      </c>
      <c r="B251" t="s">
        <v>614</v>
      </c>
      <c r="G251">
        <v>168</v>
      </c>
      <c r="H251">
        <v>185</v>
      </c>
      <c r="I251">
        <v>353</v>
      </c>
    </row>
    <row r="252" spans="1:9" ht="15">
      <c r="A252" t="s">
        <v>96</v>
      </c>
      <c r="B252" t="s">
        <v>97</v>
      </c>
      <c r="C252">
        <v>189</v>
      </c>
      <c r="D252">
        <v>163</v>
      </c>
      <c r="I252">
        <v>352</v>
      </c>
    </row>
    <row r="253" spans="1:9" ht="15">
      <c r="A253" t="s">
        <v>657</v>
      </c>
      <c r="B253" t="s">
        <v>592</v>
      </c>
      <c r="E253">
        <v>199</v>
      </c>
      <c r="F253">
        <v>151</v>
      </c>
      <c r="I253">
        <v>350</v>
      </c>
    </row>
    <row r="254" spans="1:9" ht="15">
      <c r="A254" t="s">
        <v>656</v>
      </c>
      <c r="B254" t="s">
        <v>596</v>
      </c>
      <c r="D254">
        <v>171</v>
      </c>
      <c r="E254">
        <v>176</v>
      </c>
      <c r="I254">
        <v>347</v>
      </c>
    </row>
    <row r="255" spans="1:9" ht="15">
      <c r="A255" t="s">
        <v>316</v>
      </c>
      <c r="B255" t="s">
        <v>322</v>
      </c>
      <c r="C255">
        <v>169</v>
      </c>
      <c r="D255">
        <v>175</v>
      </c>
      <c r="I255">
        <v>344</v>
      </c>
    </row>
    <row r="256" spans="1:9" ht="15">
      <c r="A256" t="s">
        <v>316</v>
      </c>
      <c r="B256" t="s">
        <v>323</v>
      </c>
      <c r="G256">
        <v>175</v>
      </c>
      <c r="H256">
        <v>168</v>
      </c>
      <c r="I256">
        <v>343</v>
      </c>
    </row>
    <row r="257" spans="1:9" ht="15">
      <c r="A257" t="s">
        <v>63</v>
      </c>
      <c r="B257" t="s">
        <v>64</v>
      </c>
      <c r="F257">
        <v>170</v>
      </c>
      <c r="G257">
        <v>171</v>
      </c>
      <c r="I257">
        <v>341</v>
      </c>
    </row>
    <row r="258" spans="1:9" ht="15">
      <c r="A258" t="s">
        <v>579</v>
      </c>
      <c r="B258" t="s">
        <v>607</v>
      </c>
      <c r="D258">
        <v>173</v>
      </c>
      <c r="H258">
        <v>163</v>
      </c>
      <c r="I258">
        <v>336</v>
      </c>
    </row>
    <row r="259" spans="1:9" ht="15">
      <c r="A259" t="s">
        <v>246</v>
      </c>
      <c r="B259" t="s">
        <v>252</v>
      </c>
      <c r="E259">
        <v>105</v>
      </c>
      <c r="G259">
        <v>126</v>
      </c>
      <c r="H259">
        <v>104</v>
      </c>
      <c r="I259">
        <v>335</v>
      </c>
    </row>
    <row r="260" spans="1:9" ht="15">
      <c r="A260" t="s">
        <v>278</v>
      </c>
      <c r="B260" t="s">
        <v>280</v>
      </c>
      <c r="C260">
        <v>122</v>
      </c>
      <c r="H260">
        <v>213</v>
      </c>
      <c r="I260">
        <v>335</v>
      </c>
    </row>
    <row r="261" spans="1:9" ht="15">
      <c r="A261" t="s">
        <v>579</v>
      </c>
      <c r="B261" t="s">
        <v>204</v>
      </c>
      <c r="C261">
        <v>174</v>
      </c>
      <c r="F261">
        <v>157</v>
      </c>
      <c r="I261">
        <v>331</v>
      </c>
    </row>
    <row r="262" spans="1:9" ht="15">
      <c r="A262" t="s">
        <v>144</v>
      </c>
      <c r="B262" t="s">
        <v>150</v>
      </c>
      <c r="D262">
        <v>195</v>
      </c>
      <c r="E262">
        <v>135</v>
      </c>
      <c r="I262">
        <v>330</v>
      </c>
    </row>
    <row r="263" spans="1:9" ht="15">
      <c r="A263" t="s">
        <v>55</v>
      </c>
      <c r="B263" t="s">
        <v>59</v>
      </c>
      <c r="G263">
        <v>185</v>
      </c>
      <c r="H263">
        <v>139</v>
      </c>
      <c r="I263">
        <v>324</v>
      </c>
    </row>
    <row r="264" spans="1:9" ht="15">
      <c r="A264" t="s">
        <v>114</v>
      </c>
      <c r="B264" t="s">
        <v>115</v>
      </c>
      <c r="E264">
        <v>160</v>
      </c>
      <c r="F264">
        <v>160</v>
      </c>
      <c r="I264">
        <v>320</v>
      </c>
    </row>
    <row r="265" spans="1:9" ht="15">
      <c r="A265" t="s">
        <v>656</v>
      </c>
      <c r="B265" t="s">
        <v>600</v>
      </c>
      <c r="C265">
        <v>164</v>
      </c>
      <c r="D265">
        <v>152</v>
      </c>
      <c r="I265">
        <v>316</v>
      </c>
    </row>
    <row r="266" spans="1:9" ht="15">
      <c r="A266" t="s">
        <v>325</v>
      </c>
      <c r="B266" t="s">
        <v>331</v>
      </c>
      <c r="E266">
        <v>129</v>
      </c>
      <c r="H266">
        <v>186</v>
      </c>
      <c r="I266">
        <v>315</v>
      </c>
    </row>
    <row r="267" spans="1:9" ht="15">
      <c r="A267" t="s">
        <v>576</v>
      </c>
      <c r="B267" t="s">
        <v>189</v>
      </c>
      <c r="C267">
        <v>175</v>
      </c>
      <c r="D267">
        <v>137</v>
      </c>
      <c r="I267">
        <v>312</v>
      </c>
    </row>
    <row r="268" spans="1:9" ht="15">
      <c r="A268" t="s">
        <v>255</v>
      </c>
      <c r="B268" t="s">
        <v>262</v>
      </c>
      <c r="E268">
        <v>150</v>
      </c>
      <c r="H268">
        <v>160</v>
      </c>
      <c r="I268">
        <v>310</v>
      </c>
    </row>
    <row r="269" spans="1:9" ht="15">
      <c r="A269" t="s">
        <v>325</v>
      </c>
      <c r="B269" t="s">
        <v>330</v>
      </c>
      <c r="C269">
        <v>175</v>
      </c>
      <c r="D269">
        <v>132</v>
      </c>
      <c r="I269">
        <v>307</v>
      </c>
    </row>
    <row r="270" spans="1:9" ht="15">
      <c r="A270" t="s">
        <v>17</v>
      </c>
      <c r="B270" t="s">
        <v>18</v>
      </c>
      <c r="C270">
        <v>169</v>
      </c>
      <c r="G270">
        <v>136</v>
      </c>
      <c r="I270">
        <v>305</v>
      </c>
    </row>
    <row r="271" spans="1:9" ht="15">
      <c r="A271" t="s">
        <v>63</v>
      </c>
      <c r="B271" t="s">
        <v>66</v>
      </c>
      <c r="E271">
        <v>145</v>
      </c>
      <c r="H271">
        <v>160</v>
      </c>
      <c r="I271">
        <v>305</v>
      </c>
    </row>
    <row r="272" spans="1:9" ht="15">
      <c r="A272" t="s">
        <v>579</v>
      </c>
      <c r="B272" t="s">
        <v>206</v>
      </c>
      <c r="E272">
        <v>152</v>
      </c>
      <c r="G272">
        <v>151</v>
      </c>
      <c r="I272">
        <v>303</v>
      </c>
    </row>
    <row r="273" spans="1:9" ht="15">
      <c r="A273" t="s">
        <v>124</v>
      </c>
      <c r="B273" t="s">
        <v>125</v>
      </c>
      <c r="C273">
        <v>123</v>
      </c>
      <c r="E273">
        <v>175</v>
      </c>
      <c r="I273">
        <v>298</v>
      </c>
    </row>
    <row r="274" spans="1:9" ht="15">
      <c r="A274" t="s">
        <v>325</v>
      </c>
      <c r="B274" t="s">
        <v>611</v>
      </c>
      <c r="F274">
        <v>131</v>
      </c>
      <c r="H274">
        <v>166</v>
      </c>
      <c r="I274">
        <v>297</v>
      </c>
    </row>
    <row r="275" spans="1:9" ht="15">
      <c r="A275" t="s">
        <v>48</v>
      </c>
      <c r="B275" t="s">
        <v>571</v>
      </c>
      <c r="G275">
        <v>196</v>
      </c>
      <c r="H275">
        <v>98</v>
      </c>
      <c r="I275">
        <v>294</v>
      </c>
    </row>
    <row r="276" spans="1:9" ht="15">
      <c r="A276" t="s">
        <v>88</v>
      </c>
      <c r="B276" t="s">
        <v>608</v>
      </c>
      <c r="D276">
        <v>157</v>
      </c>
      <c r="F276">
        <v>134</v>
      </c>
      <c r="I276">
        <v>291</v>
      </c>
    </row>
    <row r="277" spans="1:9" ht="15">
      <c r="A277" t="s">
        <v>238</v>
      </c>
      <c r="B277" t="s">
        <v>241</v>
      </c>
      <c r="E277">
        <v>149</v>
      </c>
      <c r="G277">
        <v>139</v>
      </c>
      <c r="I277">
        <v>288</v>
      </c>
    </row>
    <row r="278" spans="1:9" ht="15">
      <c r="A278" t="s">
        <v>126</v>
      </c>
      <c r="B278" t="s">
        <v>132</v>
      </c>
      <c r="C278">
        <v>135</v>
      </c>
      <c r="F278">
        <v>150</v>
      </c>
      <c r="I278">
        <v>285</v>
      </c>
    </row>
    <row r="279" spans="1:9" ht="15">
      <c r="A279" t="s">
        <v>255</v>
      </c>
      <c r="B279" t="s">
        <v>261</v>
      </c>
      <c r="F279">
        <v>155</v>
      </c>
      <c r="G279">
        <v>130</v>
      </c>
      <c r="I279">
        <v>285</v>
      </c>
    </row>
    <row r="280" spans="1:9" ht="15">
      <c r="A280" t="s">
        <v>63</v>
      </c>
      <c r="B280" t="s">
        <v>606</v>
      </c>
      <c r="D280">
        <v>130</v>
      </c>
      <c r="H280">
        <v>146</v>
      </c>
      <c r="I280">
        <v>276</v>
      </c>
    </row>
    <row r="281" spans="1:9" ht="15">
      <c r="A281" t="s">
        <v>30</v>
      </c>
      <c r="B281" t="s">
        <v>32</v>
      </c>
      <c r="C281">
        <v>140</v>
      </c>
      <c r="F281">
        <v>127</v>
      </c>
      <c r="I281">
        <v>267</v>
      </c>
    </row>
    <row r="282" spans="1:9" ht="15">
      <c r="A282" t="s">
        <v>126</v>
      </c>
      <c r="B282" t="s">
        <v>133</v>
      </c>
      <c r="C282">
        <v>102</v>
      </c>
      <c r="G282">
        <v>122</v>
      </c>
      <c r="I282">
        <v>224</v>
      </c>
    </row>
    <row r="283" spans="1:9" ht="15">
      <c r="A283" t="s">
        <v>135</v>
      </c>
      <c r="B283" t="s">
        <v>141</v>
      </c>
      <c r="D283">
        <v>109</v>
      </c>
      <c r="G283">
        <v>115</v>
      </c>
      <c r="I283">
        <v>224</v>
      </c>
    </row>
    <row r="284" spans="1:9" ht="15">
      <c r="A284" t="s">
        <v>221</v>
      </c>
      <c r="B284" t="s">
        <v>225</v>
      </c>
      <c r="D284">
        <v>189</v>
      </c>
      <c r="I284">
        <v>189</v>
      </c>
    </row>
    <row r="285" spans="1:9" ht="15">
      <c r="A285" t="s">
        <v>648</v>
      </c>
      <c r="B285" t="s">
        <v>299</v>
      </c>
      <c r="H285">
        <v>187</v>
      </c>
      <c r="I285">
        <v>187</v>
      </c>
    </row>
    <row r="286" spans="1:9" ht="15">
      <c r="A286" t="s">
        <v>221</v>
      </c>
      <c r="B286" t="s">
        <v>222</v>
      </c>
      <c r="E286">
        <v>181</v>
      </c>
      <c r="I286">
        <v>181</v>
      </c>
    </row>
    <row r="287" spans="1:9" ht="15">
      <c r="A287" t="s">
        <v>17</v>
      </c>
      <c r="B287" t="s">
        <v>23</v>
      </c>
      <c r="G287">
        <v>173</v>
      </c>
      <c r="I287">
        <v>173</v>
      </c>
    </row>
    <row r="288" spans="1:9" ht="15">
      <c r="A288" t="s">
        <v>576</v>
      </c>
      <c r="B288" t="s">
        <v>194</v>
      </c>
      <c r="H288">
        <v>156</v>
      </c>
      <c r="I288">
        <v>156</v>
      </c>
    </row>
    <row r="289" spans="1:9" ht="15">
      <c r="A289" t="s">
        <v>96</v>
      </c>
      <c r="B289" t="s">
        <v>99</v>
      </c>
      <c r="C289">
        <v>148</v>
      </c>
      <c r="I289">
        <v>148</v>
      </c>
    </row>
    <row r="290" spans="1:9" ht="15">
      <c r="A290" t="s">
        <v>657</v>
      </c>
      <c r="B290" t="s">
        <v>589</v>
      </c>
      <c r="C290">
        <v>147</v>
      </c>
      <c r="I290">
        <v>147</v>
      </c>
    </row>
    <row r="291" spans="1:9" ht="15">
      <c r="A291" t="s">
        <v>647</v>
      </c>
      <c r="B291" t="s">
        <v>290</v>
      </c>
      <c r="C291">
        <v>146</v>
      </c>
      <c r="I291">
        <v>146</v>
      </c>
    </row>
    <row r="292" spans="1:9" ht="15">
      <c r="A292" t="s">
        <v>576</v>
      </c>
      <c r="B292" t="s">
        <v>202</v>
      </c>
      <c r="G292">
        <v>144</v>
      </c>
      <c r="I292">
        <v>144</v>
      </c>
    </row>
    <row r="293" spans="1:9" ht="15">
      <c r="A293" t="s">
        <v>153</v>
      </c>
      <c r="B293" t="s">
        <v>158</v>
      </c>
      <c r="C293">
        <v>142</v>
      </c>
      <c r="I293">
        <v>142</v>
      </c>
    </row>
    <row r="294" spans="1:9" ht="15">
      <c r="A294" t="s">
        <v>48</v>
      </c>
      <c r="B294" t="s">
        <v>50</v>
      </c>
      <c r="F294">
        <v>134</v>
      </c>
      <c r="I294">
        <v>134</v>
      </c>
    </row>
    <row r="295" spans="1:9" ht="15">
      <c r="A295" t="s">
        <v>12</v>
      </c>
      <c r="B295" t="s">
        <v>15</v>
      </c>
      <c r="C295">
        <v>126</v>
      </c>
      <c r="I295">
        <v>126</v>
      </c>
    </row>
    <row r="296" spans="1:9" ht="15">
      <c r="A296" t="s">
        <v>153</v>
      </c>
      <c r="B296" t="s">
        <v>157</v>
      </c>
      <c r="G296">
        <v>124</v>
      </c>
      <c r="I296">
        <v>124</v>
      </c>
    </row>
    <row r="297" spans="1:9" ht="15">
      <c r="A297" t="s">
        <v>230</v>
      </c>
      <c r="B297" t="s">
        <v>234</v>
      </c>
      <c r="C297">
        <v>119</v>
      </c>
      <c r="I297">
        <v>119</v>
      </c>
    </row>
    <row r="298" spans="1:9" ht="15">
      <c r="A298" t="s">
        <v>135</v>
      </c>
      <c r="B298" t="s">
        <v>143</v>
      </c>
      <c r="D298">
        <v>108</v>
      </c>
      <c r="I298">
        <v>108</v>
      </c>
    </row>
    <row r="299" spans="1:9" ht="15">
      <c r="A299" t="s">
        <v>246</v>
      </c>
      <c r="B299" t="s">
        <v>250</v>
      </c>
      <c r="H299">
        <v>108</v>
      </c>
      <c r="I299">
        <v>108</v>
      </c>
    </row>
    <row r="300" spans="1:9" ht="15">
      <c r="A300" t="s">
        <v>246</v>
      </c>
      <c r="B300" t="s">
        <v>249</v>
      </c>
      <c r="F300">
        <v>77</v>
      </c>
      <c r="I300">
        <v>77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 topLeftCell="A2">
      <selection activeCell="A16" sqref="A16"/>
    </sheetView>
  </sheetViews>
  <sheetFormatPr defaultColWidth="8.8515625" defaultRowHeight="15"/>
  <cols>
    <col min="1" max="1" width="45.28125" style="1" bestFit="1" customWidth="1"/>
    <col min="2" max="2" width="12.8515625" style="1" bestFit="1" customWidth="1"/>
    <col min="3" max="3" width="14.57421875" style="1" bestFit="1" customWidth="1"/>
    <col min="4" max="16384" width="8.8515625" style="1" customWidth="1"/>
  </cols>
  <sheetData>
    <row r="1" spans="1:3" ht="15">
      <c r="A1" s="1" t="s">
        <v>610</v>
      </c>
      <c r="B1" s="1" t="s">
        <v>615</v>
      </c>
      <c r="C1" s="1" t="s">
        <v>613</v>
      </c>
    </row>
    <row r="2" spans="1:2" ht="15">
      <c r="A2" s="1" t="s">
        <v>302</v>
      </c>
      <c r="B2" s="1">
        <v>6099</v>
      </c>
    </row>
    <row r="3" spans="1:3" ht="15">
      <c r="A3" s="1" t="s">
        <v>96</v>
      </c>
      <c r="B3" s="1">
        <v>5990</v>
      </c>
      <c r="C3" s="1">
        <v>-109</v>
      </c>
    </row>
    <row r="4" spans="1:3" ht="15">
      <c r="A4" s="1" t="s">
        <v>221</v>
      </c>
      <c r="B4" s="1">
        <v>5866</v>
      </c>
      <c r="C4" s="1">
        <v>-233</v>
      </c>
    </row>
    <row r="5" spans="1:3" ht="15">
      <c r="A5" s="1" t="s">
        <v>649</v>
      </c>
      <c r="B5" s="1">
        <v>5806</v>
      </c>
      <c r="C5" s="1">
        <v>-293</v>
      </c>
    </row>
    <row r="6" spans="1:3" ht="15">
      <c r="A6" s="1" t="s">
        <v>658</v>
      </c>
      <c r="B6" s="1">
        <v>5757</v>
      </c>
      <c r="C6" s="1">
        <v>-342</v>
      </c>
    </row>
    <row r="7" spans="1:3" ht="15">
      <c r="A7" s="1" t="s">
        <v>144</v>
      </c>
      <c r="B7" s="1">
        <v>5736</v>
      </c>
      <c r="C7" s="1">
        <v>-363</v>
      </c>
    </row>
    <row r="8" spans="1:3" ht="15">
      <c r="A8" s="1" t="s">
        <v>104</v>
      </c>
      <c r="B8" s="1">
        <v>5704</v>
      </c>
      <c r="C8" s="1">
        <v>-395</v>
      </c>
    </row>
    <row r="9" spans="1:3" ht="15">
      <c r="A9" s="1" t="s">
        <v>316</v>
      </c>
      <c r="B9" s="1">
        <v>5703</v>
      </c>
      <c r="C9" s="1">
        <v>-396</v>
      </c>
    </row>
    <row r="10" spans="1:3" ht="15">
      <c r="A10" s="1" t="s">
        <v>230</v>
      </c>
      <c r="B10" s="1">
        <v>5624</v>
      </c>
      <c r="C10" s="1">
        <v>-475</v>
      </c>
    </row>
    <row r="11" spans="1:3" ht="15">
      <c r="A11" s="1" t="s">
        <v>71</v>
      </c>
      <c r="B11" s="1">
        <v>5537</v>
      </c>
      <c r="C11" s="1">
        <v>-562</v>
      </c>
    </row>
    <row r="12" spans="1:3" ht="15">
      <c r="A12" s="1" t="s">
        <v>576</v>
      </c>
      <c r="B12" s="1">
        <v>5533</v>
      </c>
      <c r="C12" s="1">
        <v>-566</v>
      </c>
    </row>
    <row r="13" spans="1:3" ht="15">
      <c r="A13" s="1" t="s">
        <v>87</v>
      </c>
      <c r="B13" s="1">
        <v>5486</v>
      </c>
      <c r="C13" s="1">
        <v>-613</v>
      </c>
    </row>
    <row r="14" spans="1:3" ht="15">
      <c r="A14" s="1" t="s">
        <v>162</v>
      </c>
      <c r="B14" s="1">
        <v>5459</v>
      </c>
      <c r="C14" s="1">
        <v>-640</v>
      </c>
    </row>
    <row r="15" spans="1:3" ht="15">
      <c r="A15" s="1" t="s">
        <v>659</v>
      </c>
      <c r="B15" s="1">
        <v>5449</v>
      </c>
      <c r="C15" s="1">
        <v>-650</v>
      </c>
    </row>
    <row r="16" spans="1:3" ht="15">
      <c r="A16" s="1" t="s">
        <v>153</v>
      </c>
      <c r="B16" s="1">
        <v>5418</v>
      </c>
      <c r="C16" s="1">
        <v>-681</v>
      </c>
    </row>
    <row r="17" spans="1:3" ht="15">
      <c r="A17" s="1" t="s">
        <v>35</v>
      </c>
      <c r="B17" s="1">
        <v>5383</v>
      </c>
      <c r="C17" s="1">
        <v>-716</v>
      </c>
    </row>
    <row r="18" spans="1:3" ht="15">
      <c r="A18" s="1" t="s">
        <v>579</v>
      </c>
      <c r="B18" s="1">
        <v>5364</v>
      </c>
      <c r="C18" s="1">
        <v>-735</v>
      </c>
    </row>
    <row r="19" spans="1:3" ht="15">
      <c r="A19" s="1" t="s">
        <v>309</v>
      </c>
      <c r="B19" s="1">
        <v>5361</v>
      </c>
      <c r="C19" s="1">
        <v>-738</v>
      </c>
    </row>
    <row r="20" spans="1:3" ht="15">
      <c r="A20" s="1" t="s">
        <v>278</v>
      </c>
      <c r="B20" s="1">
        <v>5360</v>
      </c>
      <c r="C20" s="1">
        <v>-739</v>
      </c>
    </row>
    <row r="21" spans="1:3" ht="15">
      <c r="A21" s="1" t="s">
        <v>650</v>
      </c>
      <c r="B21" s="1">
        <v>5311</v>
      </c>
      <c r="C21" s="1">
        <v>-788</v>
      </c>
    </row>
    <row r="22" spans="1:3" ht="15">
      <c r="A22" s="1" t="s">
        <v>12</v>
      </c>
      <c r="B22" s="1">
        <v>5230</v>
      </c>
      <c r="C22" s="1">
        <v>-869</v>
      </c>
    </row>
    <row r="23" spans="1:3" ht="15">
      <c r="A23" s="1" t="s">
        <v>30</v>
      </c>
      <c r="B23" s="1">
        <v>5201</v>
      </c>
      <c r="C23" s="1">
        <v>-898</v>
      </c>
    </row>
    <row r="24" spans="1:3" ht="15">
      <c r="A24" s="1" t="s">
        <v>55</v>
      </c>
      <c r="B24" s="1">
        <v>5172</v>
      </c>
      <c r="C24" s="1">
        <v>-927</v>
      </c>
    </row>
    <row r="25" spans="1:3" ht="15">
      <c r="A25" s="1" t="s">
        <v>79</v>
      </c>
      <c r="B25" s="1">
        <v>5159</v>
      </c>
      <c r="C25" s="1">
        <v>-940</v>
      </c>
    </row>
    <row r="26" spans="1:3" ht="15">
      <c r="A26" s="1" t="s">
        <v>325</v>
      </c>
      <c r="B26" s="1">
        <v>5152</v>
      </c>
      <c r="C26" s="1">
        <v>-947</v>
      </c>
    </row>
    <row r="27" spans="1:3" ht="15">
      <c r="A27" s="1" t="s">
        <v>578</v>
      </c>
      <c r="B27" s="1">
        <v>5126</v>
      </c>
      <c r="C27" s="1">
        <v>-973</v>
      </c>
    </row>
    <row r="28" spans="1:3" ht="15">
      <c r="A28" s="1" t="s">
        <v>42</v>
      </c>
      <c r="B28" s="1">
        <v>5118</v>
      </c>
      <c r="C28" s="1">
        <v>-981</v>
      </c>
    </row>
    <row r="29" spans="1:3" ht="15">
      <c r="A29" s="1" t="s">
        <v>88</v>
      </c>
      <c r="B29" s="1">
        <v>5118</v>
      </c>
      <c r="C29" s="1">
        <v>-981</v>
      </c>
    </row>
    <row r="30" spans="1:3" ht="15">
      <c r="A30" s="1" t="s">
        <v>238</v>
      </c>
      <c r="B30" s="1">
        <v>5103</v>
      </c>
      <c r="C30" s="1">
        <v>-996</v>
      </c>
    </row>
    <row r="31" spans="1:3" ht="15">
      <c r="A31" s="1" t="s">
        <v>255</v>
      </c>
      <c r="B31" s="1">
        <v>5070</v>
      </c>
      <c r="C31" s="1">
        <v>-1029</v>
      </c>
    </row>
    <row r="32" spans="1:3" ht="15">
      <c r="A32" s="1" t="s">
        <v>170</v>
      </c>
      <c r="B32" s="1">
        <v>5062</v>
      </c>
      <c r="C32" s="1">
        <v>-1037</v>
      </c>
    </row>
    <row r="33" spans="1:3" ht="15">
      <c r="A33" s="1" t="s">
        <v>106</v>
      </c>
      <c r="B33" s="1">
        <v>5056</v>
      </c>
      <c r="C33" s="1">
        <v>-1043</v>
      </c>
    </row>
    <row r="34" spans="1:3" ht="15">
      <c r="A34" s="1" t="s">
        <v>48</v>
      </c>
      <c r="B34" s="1">
        <v>5008</v>
      </c>
      <c r="C34" s="1">
        <v>-1091</v>
      </c>
    </row>
    <row r="35" spans="1:3" ht="15">
      <c r="A35" s="1" t="s">
        <v>126</v>
      </c>
      <c r="B35" s="1">
        <v>4950</v>
      </c>
      <c r="C35" s="1">
        <v>-1149</v>
      </c>
    </row>
    <row r="36" spans="1:3" ht="15">
      <c r="A36" s="1" t="s">
        <v>63</v>
      </c>
      <c r="B36" s="1">
        <v>4928</v>
      </c>
      <c r="C36" s="1">
        <v>-1171</v>
      </c>
    </row>
    <row r="37" spans="1:3" ht="15">
      <c r="A37" s="1" t="s">
        <v>17</v>
      </c>
      <c r="B37" s="1">
        <v>4922</v>
      </c>
      <c r="C37" s="1">
        <v>-1177</v>
      </c>
    </row>
    <row r="38" spans="1:3" ht="15">
      <c r="A38" s="1" t="s">
        <v>135</v>
      </c>
      <c r="B38" s="1">
        <v>4800</v>
      </c>
      <c r="C38" s="1">
        <v>-1299</v>
      </c>
    </row>
    <row r="39" spans="1:3" ht="15">
      <c r="A39" s="1" t="s">
        <v>612</v>
      </c>
      <c r="B39" s="1">
        <v>4572</v>
      </c>
      <c r="C39" s="1">
        <v>-1527</v>
      </c>
    </row>
    <row r="40" spans="1:3" ht="15">
      <c r="A40" s="1" t="s">
        <v>263</v>
      </c>
      <c r="B40" s="1">
        <v>4437</v>
      </c>
      <c r="C40" s="1">
        <v>-1662</v>
      </c>
    </row>
    <row r="41" spans="1:3" ht="15">
      <c r="A41" s="1" t="s">
        <v>172</v>
      </c>
      <c r="B41" s="1">
        <v>4416</v>
      </c>
      <c r="C41" s="1">
        <v>-1683</v>
      </c>
    </row>
    <row r="42" spans="1:3" ht="15">
      <c r="A42" s="1" t="s">
        <v>271</v>
      </c>
      <c r="B42" s="1">
        <v>4382</v>
      </c>
      <c r="C42" s="1">
        <v>-1717</v>
      </c>
    </row>
    <row r="43" spans="1:3" ht="15">
      <c r="A43" s="1" t="s">
        <v>246</v>
      </c>
      <c r="B43" s="1">
        <v>4256</v>
      </c>
      <c r="C43" s="1">
        <v>-1843</v>
      </c>
    </row>
    <row r="44" spans="1:3" ht="15">
      <c r="A44" s="1" t="s">
        <v>26</v>
      </c>
      <c r="B44" s="1">
        <v>4146</v>
      </c>
      <c r="C44" s="1">
        <v>-1953</v>
      </c>
    </row>
    <row r="45" spans="1:3" ht="15">
      <c r="A45" s="1" t="s">
        <v>207</v>
      </c>
      <c r="B45" s="1">
        <v>3711</v>
      </c>
      <c r="C45" s="1">
        <v>-2388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workbookViewId="0" topLeftCell="A167">
      <selection activeCell="B180" sqref="B180"/>
    </sheetView>
  </sheetViews>
  <sheetFormatPr defaultColWidth="9.140625" defaultRowHeight="15"/>
  <cols>
    <col min="1" max="1" width="45.7109375" style="0" bestFit="1" customWidth="1"/>
    <col min="2" max="2" width="20.00390625" style="0" bestFit="1" customWidth="1"/>
    <col min="3" max="8" width="7.57421875" style="0" bestFit="1" customWidth="1"/>
    <col min="9" max="9" width="15.7109375" style="0" bestFit="1" customWidth="1"/>
    <col min="10" max="10" width="14.57421875" style="41" bestFit="1" customWidth="1"/>
    <col min="11" max="11" width="10.7109375" style="0" bestFit="1" customWidth="1"/>
  </cols>
  <sheetData>
    <row r="1" spans="1:10" ht="14.25" customHeight="1">
      <c r="A1" t="s">
        <v>8</v>
      </c>
      <c r="B1" t="s">
        <v>7</v>
      </c>
      <c r="C1" t="s">
        <v>0</v>
      </c>
      <c r="D1" t="s">
        <v>1</v>
      </c>
      <c r="E1" t="s">
        <v>2</v>
      </c>
      <c r="F1" t="s">
        <v>4</v>
      </c>
      <c r="G1" t="s">
        <v>5</v>
      </c>
      <c r="H1" t="s">
        <v>6</v>
      </c>
      <c r="I1" t="s">
        <v>10</v>
      </c>
      <c r="J1" s="41" t="s">
        <v>653</v>
      </c>
    </row>
    <row r="2" spans="1:9" ht="14.25" customHeight="1">
      <c r="A2" t="s">
        <v>144</v>
      </c>
      <c r="B2" t="s">
        <v>456</v>
      </c>
      <c r="C2">
        <v>183</v>
      </c>
      <c r="D2">
        <v>185</v>
      </c>
      <c r="E2">
        <v>164</v>
      </c>
      <c r="F2">
        <v>203</v>
      </c>
      <c r="G2">
        <v>226</v>
      </c>
      <c r="H2">
        <v>214</v>
      </c>
      <c r="I2">
        <v>1175</v>
      </c>
    </row>
    <row r="3" spans="1:10" ht="14.25" customHeight="1">
      <c r="A3" t="s">
        <v>379</v>
      </c>
      <c r="B3" t="s">
        <v>380</v>
      </c>
      <c r="C3">
        <v>193</v>
      </c>
      <c r="D3">
        <v>211</v>
      </c>
      <c r="E3">
        <v>188</v>
      </c>
      <c r="F3">
        <v>168</v>
      </c>
      <c r="G3">
        <v>202</v>
      </c>
      <c r="H3">
        <v>211</v>
      </c>
      <c r="I3">
        <v>1173</v>
      </c>
      <c r="J3" s="41">
        <v>-2</v>
      </c>
    </row>
    <row r="4" spans="1:10" ht="14.25" customHeight="1">
      <c r="A4" t="s">
        <v>17</v>
      </c>
      <c r="B4" t="s">
        <v>351</v>
      </c>
      <c r="C4">
        <v>191</v>
      </c>
      <c r="D4">
        <v>199</v>
      </c>
      <c r="E4">
        <v>173</v>
      </c>
      <c r="F4">
        <v>142</v>
      </c>
      <c r="G4">
        <v>235</v>
      </c>
      <c r="H4">
        <v>214</v>
      </c>
      <c r="I4">
        <v>1154</v>
      </c>
      <c r="J4" s="41">
        <v>-21</v>
      </c>
    </row>
    <row r="5" spans="1:10" ht="14.25" customHeight="1">
      <c r="A5" t="s">
        <v>35</v>
      </c>
      <c r="B5" t="s">
        <v>394</v>
      </c>
      <c r="C5">
        <v>193</v>
      </c>
      <c r="D5">
        <v>182</v>
      </c>
      <c r="E5">
        <v>162</v>
      </c>
      <c r="F5">
        <v>195</v>
      </c>
      <c r="G5">
        <v>215</v>
      </c>
      <c r="H5">
        <v>206</v>
      </c>
      <c r="I5">
        <v>1153</v>
      </c>
      <c r="J5" s="41">
        <v>-22</v>
      </c>
    </row>
    <row r="6" spans="1:10" ht="14.25" customHeight="1">
      <c r="A6" t="s">
        <v>472</v>
      </c>
      <c r="B6" t="s">
        <v>475</v>
      </c>
      <c r="C6">
        <v>218</v>
      </c>
      <c r="D6">
        <v>175</v>
      </c>
      <c r="E6">
        <v>207</v>
      </c>
      <c r="F6">
        <v>172</v>
      </c>
      <c r="G6">
        <v>206</v>
      </c>
      <c r="H6">
        <v>174</v>
      </c>
      <c r="I6">
        <v>1152</v>
      </c>
      <c r="J6" s="41">
        <v>-23</v>
      </c>
    </row>
    <row r="7" spans="1:10" ht="14.25" customHeight="1">
      <c r="A7" t="s">
        <v>472</v>
      </c>
      <c r="B7" t="s">
        <v>473</v>
      </c>
      <c r="C7">
        <v>174</v>
      </c>
      <c r="D7">
        <v>188</v>
      </c>
      <c r="E7">
        <v>189</v>
      </c>
      <c r="F7">
        <v>223</v>
      </c>
      <c r="G7">
        <v>201</v>
      </c>
      <c r="H7">
        <v>175</v>
      </c>
      <c r="I7">
        <v>1150</v>
      </c>
      <c r="J7" s="41">
        <v>-25</v>
      </c>
    </row>
    <row r="8" spans="1:10" ht="14.25" customHeight="1">
      <c r="A8" t="s">
        <v>316</v>
      </c>
      <c r="B8" t="s">
        <v>555</v>
      </c>
      <c r="C8">
        <v>235</v>
      </c>
      <c r="D8">
        <v>158</v>
      </c>
      <c r="E8">
        <v>191</v>
      </c>
      <c r="F8">
        <v>180</v>
      </c>
      <c r="G8">
        <v>208</v>
      </c>
      <c r="H8">
        <v>171</v>
      </c>
      <c r="I8">
        <v>1143</v>
      </c>
      <c r="J8" s="41">
        <v>-32</v>
      </c>
    </row>
    <row r="9" spans="1:10" ht="14.25" customHeight="1">
      <c r="A9" t="s">
        <v>651</v>
      </c>
      <c r="B9" t="s">
        <v>512</v>
      </c>
      <c r="C9">
        <v>219</v>
      </c>
      <c r="D9">
        <v>192</v>
      </c>
      <c r="E9">
        <v>162</v>
      </c>
      <c r="F9">
        <v>214</v>
      </c>
      <c r="G9">
        <v>191</v>
      </c>
      <c r="H9">
        <v>163</v>
      </c>
      <c r="I9">
        <v>1141</v>
      </c>
      <c r="J9" s="41">
        <v>-34</v>
      </c>
    </row>
    <row r="10" spans="1:10" ht="14.25" customHeight="1">
      <c r="A10" t="s">
        <v>79</v>
      </c>
      <c r="B10" t="s">
        <v>430</v>
      </c>
      <c r="C10">
        <v>187</v>
      </c>
      <c r="D10">
        <v>202</v>
      </c>
      <c r="E10">
        <v>188</v>
      </c>
      <c r="F10">
        <v>189</v>
      </c>
      <c r="G10">
        <v>164</v>
      </c>
      <c r="H10">
        <v>202</v>
      </c>
      <c r="I10">
        <v>1132</v>
      </c>
      <c r="J10" s="41">
        <v>-43</v>
      </c>
    </row>
    <row r="11" spans="1:10" ht="14.25" customHeight="1">
      <c r="A11" t="s">
        <v>35</v>
      </c>
      <c r="B11" t="s">
        <v>395</v>
      </c>
      <c r="C11">
        <v>173</v>
      </c>
      <c r="D11">
        <v>175</v>
      </c>
      <c r="E11">
        <v>187</v>
      </c>
      <c r="F11">
        <v>202</v>
      </c>
      <c r="G11">
        <v>203</v>
      </c>
      <c r="H11">
        <v>182</v>
      </c>
      <c r="I11">
        <v>1122</v>
      </c>
      <c r="J11" s="41">
        <v>-53</v>
      </c>
    </row>
    <row r="12" spans="1:10" ht="14.25" customHeight="1">
      <c r="A12" t="s">
        <v>651</v>
      </c>
      <c r="B12" t="s">
        <v>514</v>
      </c>
      <c r="C12">
        <v>175</v>
      </c>
      <c r="D12">
        <v>206</v>
      </c>
      <c r="E12">
        <v>189</v>
      </c>
      <c r="F12">
        <v>181</v>
      </c>
      <c r="G12">
        <v>171</v>
      </c>
      <c r="H12">
        <v>199</v>
      </c>
      <c r="I12">
        <v>1121</v>
      </c>
      <c r="J12" s="41">
        <v>-54</v>
      </c>
    </row>
    <row r="13" spans="1:10" ht="14.25" customHeight="1">
      <c r="A13" t="s">
        <v>358</v>
      </c>
      <c r="B13" t="s">
        <v>364</v>
      </c>
      <c r="C13">
        <v>214</v>
      </c>
      <c r="D13">
        <v>191</v>
      </c>
      <c r="E13">
        <v>173</v>
      </c>
      <c r="F13">
        <v>171</v>
      </c>
      <c r="G13">
        <v>211</v>
      </c>
      <c r="H13">
        <v>153</v>
      </c>
      <c r="I13">
        <v>1113</v>
      </c>
      <c r="J13" s="41">
        <v>-62</v>
      </c>
    </row>
    <row r="14" spans="1:10" ht="14.25" customHeight="1">
      <c r="A14" t="s">
        <v>385</v>
      </c>
      <c r="B14" t="s">
        <v>389</v>
      </c>
      <c r="C14">
        <v>191</v>
      </c>
      <c r="D14">
        <v>178</v>
      </c>
      <c r="E14">
        <v>161</v>
      </c>
      <c r="F14">
        <v>218</v>
      </c>
      <c r="G14">
        <v>153</v>
      </c>
      <c r="H14">
        <v>204</v>
      </c>
      <c r="I14">
        <v>1105</v>
      </c>
      <c r="J14" s="41">
        <v>-70</v>
      </c>
    </row>
    <row r="15" spans="1:10" ht="14.25" customHeight="1">
      <c r="A15" t="s">
        <v>316</v>
      </c>
      <c r="B15" t="s">
        <v>554</v>
      </c>
      <c r="C15">
        <v>194</v>
      </c>
      <c r="D15">
        <v>181</v>
      </c>
      <c r="E15">
        <v>168</v>
      </c>
      <c r="F15">
        <v>214</v>
      </c>
      <c r="G15">
        <v>171</v>
      </c>
      <c r="H15">
        <v>176</v>
      </c>
      <c r="I15">
        <v>1104</v>
      </c>
      <c r="J15" s="41">
        <v>-71</v>
      </c>
    </row>
    <row r="16" spans="1:10" ht="14.25" customHeight="1">
      <c r="A16" t="s">
        <v>398</v>
      </c>
      <c r="B16" t="s">
        <v>400</v>
      </c>
      <c r="C16">
        <v>185</v>
      </c>
      <c r="D16">
        <v>171</v>
      </c>
      <c r="E16">
        <v>205</v>
      </c>
      <c r="F16">
        <v>138</v>
      </c>
      <c r="G16">
        <v>194</v>
      </c>
      <c r="H16">
        <v>209</v>
      </c>
      <c r="I16">
        <v>1102</v>
      </c>
      <c r="J16" s="41">
        <v>-73</v>
      </c>
    </row>
    <row r="17" spans="1:10" ht="14.25" customHeight="1">
      <c r="A17" t="s">
        <v>472</v>
      </c>
      <c r="B17" t="s">
        <v>474</v>
      </c>
      <c r="C17">
        <v>163</v>
      </c>
      <c r="D17">
        <v>198</v>
      </c>
      <c r="E17">
        <v>203</v>
      </c>
      <c r="F17">
        <v>166</v>
      </c>
      <c r="G17">
        <v>175</v>
      </c>
      <c r="H17">
        <v>196</v>
      </c>
      <c r="I17">
        <v>1101</v>
      </c>
      <c r="J17" s="41">
        <v>-74</v>
      </c>
    </row>
    <row r="18" spans="1:10" ht="14.25" customHeight="1">
      <c r="A18" t="s">
        <v>96</v>
      </c>
      <c r="B18" t="s">
        <v>442</v>
      </c>
      <c r="C18">
        <v>165</v>
      </c>
      <c r="D18">
        <v>179</v>
      </c>
      <c r="E18">
        <v>203</v>
      </c>
      <c r="F18">
        <v>220</v>
      </c>
      <c r="G18">
        <v>172</v>
      </c>
      <c r="H18">
        <v>161</v>
      </c>
      <c r="I18">
        <v>1100</v>
      </c>
      <c r="J18" s="41">
        <v>-75</v>
      </c>
    </row>
    <row r="19" spans="1:10" ht="14.25" customHeight="1">
      <c r="A19" t="s">
        <v>153</v>
      </c>
      <c r="B19" t="s">
        <v>458</v>
      </c>
      <c r="C19">
        <v>167</v>
      </c>
      <c r="D19">
        <v>199</v>
      </c>
      <c r="E19">
        <v>168</v>
      </c>
      <c r="F19">
        <v>183</v>
      </c>
      <c r="G19">
        <v>168</v>
      </c>
      <c r="H19">
        <v>214</v>
      </c>
      <c r="I19">
        <v>1099</v>
      </c>
      <c r="J19" s="41">
        <v>-76</v>
      </c>
    </row>
    <row r="20" spans="1:10" ht="14.25" customHeight="1">
      <c r="A20" t="s">
        <v>17</v>
      </c>
      <c r="B20" t="s">
        <v>348</v>
      </c>
      <c r="C20">
        <v>166</v>
      </c>
      <c r="D20">
        <v>167</v>
      </c>
      <c r="E20">
        <v>193</v>
      </c>
      <c r="F20">
        <v>197</v>
      </c>
      <c r="G20">
        <v>147</v>
      </c>
      <c r="H20">
        <v>228</v>
      </c>
      <c r="I20">
        <v>1098</v>
      </c>
      <c r="J20" s="41">
        <v>-77</v>
      </c>
    </row>
    <row r="21" spans="1:10" ht="14.25" customHeight="1">
      <c r="A21" t="s">
        <v>651</v>
      </c>
      <c r="B21" t="s">
        <v>511</v>
      </c>
      <c r="C21">
        <v>232</v>
      </c>
      <c r="D21">
        <v>172</v>
      </c>
      <c r="E21">
        <v>162</v>
      </c>
      <c r="F21">
        <v>202</v>
      </c>
      <c r="G21">
        <v>203</v>
      </c>
      <c r="H21">
        <v>125</v>
      </c>
      <c r="I21">
        <v>1096</v>
      </c>
      <c r="J21" s="41">
        <v>-79</v>
      </c>
    </row>
    <row r="22" spans="1:10" ht="14.25" customHeight="1">
      <c r="A22" t="s">
        <v>479</v>
      </c>
      <c r="B22" t="s">
        <v>481</v>
      </c>
      <c r="C22">
        <v>208</v>
      </c>
      <c r="D22">
        <v>162</v>
      </c>
      <c r="E22">
        <v>187</v>
      </c>
      <c r="F22">
        <v>174</v>
      </c>
      <c r="G22">
        <v>183</v>
      </c>
      <c r="H22">
        <v>180</v>
      </c>
      <c r="I22">
        <v>1094</v>
      </c>
      <c r="J22" s="41">
        <v>-81</v>
      </c>
    </row>
    <row r="23" spans="1:10" ht="14.25" customHeight="1">
      <c r="A23" t="s">
        <v>144</v>
      </c>
      <c r="B23" t="s">
        <v>454</v>
      </c>
      <c r="C23">
        <v>187</v>
      </c>
      <c r="D23">
        <v>159</v>
      </c>
      <c r="E23">
        <v>185</v>
      </c>
      <c r="F23">
        <v>155</v>
      </c>
      <c r="G23">
        <v>160</v>
      </c>
      <c r="H23">
        <v>245</v>
      </c>
      <c r="I23">
        <v>1091</v>
      </c>
      <c r="J23" s="41">
        <v>-84</v>
      </c>
    </row>
    <row r="24" spans="1:10" ht="14.25" customHeight="1">
      <c r="A24" t="s">
        <v>651</v>
      </c>
      <c r="B24" t="s">
        <v>510</v>
      </c>
      <c r="C24">
        <v>204</v>
      </c>
      <c r="D24">
        <v>209</v>
      </c>
      <c r="E24">
        <v>165</v>
      </c>
      <c r="F24">
        <v>155</v>
      </c>
      <c r="G24">
        <v>178</v>
      </c>
      <c r="H24">
        <v>177</v>
      </c>
      <c r="I24">
        <v>1088</v>
      </c>
      <c r="J24" s="41">
        <v>-87</v>
      </c>
    </row>
    <row r="25" spans="1:10" ht="14.25" customHeight="1">
      <c r="A25" t="s">
        <v>71</v>
      </c>
      <c r="B25" t="s">
        <v>422</v>
      </c>
      <c r="C25">
        <v>196</v>
      </c>
      <c r="D25">
        <v>167</v>
      </c>
      <c r="E25">
        <v>161</v>
      </c>
      <c r="F25">
        <v>228</v>
      </c>
      <c r="G25">
        <v>141</v>
      </c>
      <c r="H25">
        <v>194</v>
      </c>
      <c r="I25">
        <v>1087</v>
      </c>
      <c r="J25" s="41">
        <v>-88</v>
      </c>
    </row>
    <row r="26" spans="1:10" ht="14.25" customHeight="1">
      <c r="A26" t="s">
        <v>144</v>
      </c>
      <c r="B26" t="s">
        <v>452</v>
      </c>
      <c r="C26">
        <v>152</v>
      </c>
      <c r="D26">
        <v>202</v>
      </c>
      <c r="E26">
        <v>150</v>
      </c>
      <c r="F26">
        <v>201</v>
      </c>
      <c r="G26">
        <v>182</v>
      </c>
      <c r="H26">
        <v>200</v>
      </c>
      <c r="I26">
        <v>1087</v>
      </c>
      <c r="J26" s="41">
        <v>-88</v>
      </c>
    </row>
    <row r="27" spans="1:10" ht="14.25" customHeight="1">
      <c r="A27" t="s">
        <v>650</v>
      </c>
      <c r="B27" t="s">
        <v>545</v>
      </c>
      <c r="C27">
        <v>191</v>
      </c>
      <c r="D27">
        <v>201</v>
      </c>
      <c r="E27">
        <v>176</v>
      </c>
      <c r="F27">
        <v>176</v>
      </c>
      <c r="G27">
        <v>186</v>
      </c>
      <c r="H27">
        <v>157</v>
      </c>
      <c r="I27">
        <v>1087</v>
      </c>
      <c r="J27" s="41">
        <v>-88</v>
      </c>
    </row>
    <row r="28" spans="1:10" ht="14.25" customHeight="1">
      <c r="A28" t="s">
        <v>479</v>
      </c>
      <c r="B28" t="s">
        <v>484</v>
      </c>
      <c r="C28">
        <v>191</v>
      </c>
      <c r="D28">
        <v>145</v>
      </c>
      <c r="E28">
        <v>189</v>
      </c>
      <c r="F28">
        <v>197</v>
      </c>
      <c r="G28">
        <v>170</v>
      </c>
      <c r="H28">
        <v>193</v>
      </c>
      <c r="I28">
        <v>1085</v>
      </c>
      <c r="J28" s="41">
        <v>-90</v>
      </c>
    </row>
    <row r="29" spans="1:10" ht="14.25" customHeight="1">
      <c r="A29" t="s">
        <v>493</v>
      </c>
      <c r="B29" t="s">
        <v>498</v>
      </c>
      <c r="C29">
        <v>171</v>
      </c>
      <c r="D29">
        <v>161</v>
      </c>
      <c r="E29">
        <v>161</v>
      </c>
      <c r="F29">
        <v>177</v>
      </c>
      <c r="G29">
        <v>188</v>
      </c>
      <c r="H29">
        <v>222</v>
      </c>
      <c r="I29">
        <v>1080</v>
      </c>
      <c r="J29" s="41">
        <v>-95</v>
      </c>
    </row>
    <row r="30" spans="1:10" ht="14.25" customHeight="1">
      <c r="A30" t="s">
        <v>649</v>
      </c>
      <c r="B30" t="s">
        <v>638</v>
      </c>
      <c r="C30">
        <v>192</v>
      </c>
      <c r="D30">
        <v>179</v>
      </c>
      <c r="E30">
        <v>182</v>
      </c>
      <c r="F30">
        <v>169</v>
      </c>
      <c r="G30">
        <v>168</v>
      </c>
      <c r="H30">
        <v>189</v>
      </c>
      <c r="I30">
        <v>1079</v>
      </c>
      <c r="J30" s="41">
        <v>-96</v>
      </c>
    </row>
    <row r="31" spans="1:10" ht="14.25" customHeight="1">
      <c r="A31" t="s">
        <v>358</v>
      </c>
      <c r="B31" t="s">
        <v>359</v>
      </c>
      <c r="C31">
        <v>189</v>
      </c>
      <c r="D31">
        <v>188</v>
      </c>
      <c r="E31">
        <v>226</v>
      </c>
      <c r="F31">
        <v>153</v>
      </c>
      <c r="G31">
        <v>173</v>
      </c>
      <c r="H31">
        <v>149</v>
      </c>
      <c r="I31">
        <v>1078</v>
      </c>
      <c r="J31" s="41">
        <v>-97</v>
      </c>
    </row>
    <row r="32" spans="1:10" ht="14.25" customHeight="1">
      <c r="A32" t="s">
        <v>35</v>
      </c>
      <c r="B32" t="s">
        <v>392</v>
      </c>
      <c r="C32">
        <v>171</v>
      </c>
      <c r="D32">
        <v>148</v>
      </c>
      <c r="E32">
        <v>214</v>
      </c>
      <c r="F32">
        <v>170</v>
      </c>
      <c r="G32">
        <v>147</v>
      </c>
      <c r="H32">
        <v>223</v>
      </c>
      <c r="I32">
        <v>1073</v>
      </c>
      <c r="J32" s="41">
        <v>-102</v>
      </c>
    </row>
    <row r="33" spans="1:10" ht="14.25" customHeight="1">
      <c r="A33" t="s">
        <v>332</v>
      </c>
      <c r="B33" t="s">
        <v>337</v>
      </c>
      <c r="C33">
        <v>203</v>
      </c>
      <c r="D33">
        <v>135</v>
      </c>
      <c r="E33">
        <v>171</v>
      </c>
      <c r="F33">
        <v>157</v>
      </c>
      <c r="G33">
        <v>186</v>
      </c>
      <c r="H33">
        <v>216</v>
      </c>
      <c r="I33">
        <v>1068</v>
      </c>
      <c r="J33" s="41">
        <v>-107</v>
      </c>
    </row>
    <row r="34" spans="1:10" ht="14.25" customHeight="1">
      <c r="A34" t="s">
        <v>358</v>
      </c>
      <c r="B34" t="s">
        <v>360</v>
      </c>
      <c r="C34">
        <v>180</v>
      </c>
      <c r="D34">
        <v>173</v>
      </c>
      <c r="E34">
        <v>194</v>
      </c>
      <c r="F34">
        <v>192</v>
      </c>
      <c r="G34">
        <v>161</v>
      </c>
      <c r="H34">
        <v>168</v>
      </c>
      <c r="I34">
        <v>1068</v>
      </c>
      <c r="J34" s="41">
        <v>-107</v>
      </c>
    </row>
    <row r="35" spans="1:10" ht="14.25" customHeight="1">
      <c r="A35" t="s">
        <v>365</v>
      </c>
      <c r="B35" t="s">
        <v>366</v>
      </c>
      <c r="C35">
        <v>134</v>
      </c>
      <c r="D35">
        <v>178</v>
      </c>
      <c r="E35">
        <v>175</v>
      </c>
      <c r="F35">
        <v>194</v>
      </c>
      <c r="G35">
        <v>175</v>
      </c>
      <c r="H35">
        <v>212</v>
      </c>
      <c r="I35">
        <v>1068</v>
      </c>
      <c r="J35" s="41">
        <v>-107</v>
      </c>
    </row>
    <row r="36" spans="1:10" ht="14.25" customHeight="1">
      <c r="A36" t="s">
        <v>340</v>
      </c>
      <c r="B36" t="s">
        <v>343</v>
      </c>
      <c r="C36">
        <v>210</v>
      </c>
      <c r="D36">
        <v>197</v>
      </c>
      <c r="E36">
        <v>111</v>
      </c>
      <c r="F36">
        <v>181</v>
      </c>
      <c r="G36">
        <v>166</v>
      </c>
      <c r="H36">
        <v>202</v>
      </c>
      <c r="I36">
        <v>1067</v>
      </c>
      <c r="J36" s="41">
        <v>-108</v>
      </c>
    </row>
    <row r="37" spans="1:10" ht="14.25" customHeight="1">
      <c r="A37" t="s">
        <v>71</v>
      </c>
      <c r="B37" t="s">
        <v>426</v>
      </c>
      <c r="C37">
        <v>195</v>
      </c>
      <c r="D37">
        <v>162</v>
      </c>
      <c r="E37">
        <v>168</v>
      </c>
      <c r="F37">
        <v>199</v>
      </c>
      <c r="G37">
        <v>175</v>
      </c>
      <c r="H37">
        <v>167</v>
      </c>
      <c r="I37">
        <v>1066</v>
      </c>
      <c r="J37" s="41">
        <v>-109</v>
      </c>
    </row>
    <row r="38" spans="1:10" ht="14.25" customHeight="1">
      <c r="A38" t="s">
        <v>332</v>
      </c>
      <c r="B38" t="s">
        <v>336</v>
      </c>
      <c r="C38">
        <v>181</v>
      </c>
      <c r="D38">
        <v>197</v>
      </c>
      <c r="E38">
        <v>210</v>
      </c>
      <c r="F38">
        <v>143</v>
      </c>
      <c r="G38">
        <v>157</v>
      </c>
      <c r="H38">
        <v>175</v>
      </c>
      <c r="I38">
        <v>1063</v>
      </c>
      <c r="J38" s="41">
        <v>-112</v>
      </c>
    </row>
    <row r="39" spans="1:10" ht="14.25" customHeight="1">
      <c r="A39" t="s">
        <v>71</v>
      </c>
      <c r="B39" t="s">
        <v>423</v>
      </c>
      <c r="C39">
        <v>155</v>
      </c>
      <c r="D39">
        <v>156</v>
      </c>
      <c r="E39">
        <v>156</v>
      </c>
      <c r="F39">
        <v>200</v>
      </c>
      <c r="G39">
        <v>186</v>
      </c>
      <c r="H39">
        <v>210</v>
      </c>
      <c r="I39">
        <v>1063</v>
      </c>
      <c r="J39" s="41">
        <v>-112</v>
      </c>
    </row>
    <row r="40" spans="1:10" ht="14.25" customHeight="1">
      <c r="A40" t="s">
        <v>126</v>
      </c>
      <c r="B40" t="s">
        <v>635</v>
      </c>
      <c r="C40">
        <v>174</v>
      </c>
      <c r="D40">
        <v>187</v>
      </c>
      <c r="E40">
        <v>159</v>
      </c>
      <c r="F40">
        <v>171</v>
      </c>
      <c r="G40">
        <v>184</v>
      </c>
      <c r="H40">
        <v>188</v>
      </c>
      <c r="I40">
        <v>1063</v>
      </c>
      <c r="J40" s="41">
        <v>-112</v>
      </c>
    </row>
    <row r="41" spans="1:10" ht="14.25" customHeight="1">
      <c r="A41" t="s">
        <v>649</v>
      </c>
      <c r="B41" t="s">
        <v>542</v>
      </c>
      <c r="C41">
        <v>242</v>
      </c>
      <c r="D41">
        <v>154</v>
      </c>
      <c r="E41">
        <v>179</v>
      </c>
      <c r="F41">
        <v>170</v>
      </c>
      <c r="G41">
        <v>134</v>
      </c>
      <c r="H41">
        <v>174</v>
      </c>
      <c r="I41">
        <v>1053</v>
      </c>
      <c r="J41" s="41">
        <v>-122</v>
      </c>
    </row>
    <row r="42" spans="1:10" ht="14.25" customHeight="1">
      <c r="A42" t="s">
        <v>79</v>
      </c>
      <c r="B42" t="s">
        <v>429</v>
      </c>
      <c r="C42">
        <v>217</v>
      </c>
      <c r="D42">
        <v>133</v>
      </c>
      <c r="E42">
        <v>154</v>
      </c>
      <c r="F42">
        <v>175</v>
      </c>
      <c r="G42">
        <v>147</v>
      </c>
      <c r="H42">
        <v>222</v>
      </c>
      <c r="I42">
        <v>1048</v>
      </c>
      <c r="J42" s="41">
        <v>-127</v>
      </c>
    </row>
    <row r="43" spans="1:10" ht="14.25" customHeight="1">
      <c r="A43" t="s">
        <v>221</v>
      </c>
      <c r="B43" t="s">
        <v>637</v>
      </c>
      <c r="C43">
        <v>159</v>
      </c>
      <c r="D43">
        <v>191</v>
      </c>
      <c r="E43">
        <v>177</v>
      </c>
      <c r="F43">
        <v>153</v>
      </c>
      <c r="G43">
        <v>205</v>
      </c>
      <c r="H43">
        <v>163</v>
      </c>
      <c r="I43">
        <v>1048</v>
      </c>
      <c r="J43" s="41">
        <v>-127</v>
      </c>
    </row>
    <row r="44" spans="1:10" ht="14.25" customHeight="1">
      <c r="A44" t="s">
        <v>17</v>
      </c>
      <c r="B44" t="s">
        <v>349</v>
      </c>
      <c r="C44">
        <v>146</v>
      </c>
      <c r="D44">
        <v>155</v>
      </c>
      <c r="E44">
        <v>227</v>
      </c>
      <c r="F44">
        <v>159</v>
      </c>
      <c r="G44">
        <v>193</v>
      </c>
      <c r="H44">
        <v>167</v>
      </c>
      <c r="I44">
        <v>1047</v>
      </c>
      <c r="J44" s="41">
        <v>-128</v>
      </c>
    </row>
    <row r="45" spans="1:10" ht="14.25" customHeight="1">
      <c r="A45" t="s">
        <v>652</v>
      </c>
      <c r="B45" t="s">
        <v>516</v>
      </c>
      <c r="C45">
        <v>188</v>
      </c>
      <c r="D45">
        <v>137</v>
      </c>
      <c r="E45">
        <v>164</v>
      </c>
      <c r="F45">
        <v>212</v>
      </c>
      <c r="G45">
        <v>171</v>
      </c>
      <c r="H45">
        <v>173</v>
      </c>
      <c r="I45">
        <v>1045</v>
      </c>
      <c r="J45" s="41">
        <v>-130</v>
      </c>
    </row>
    <row r="46" spans="1:10" ht="14.25" customHeight="1">
      <c r="A46" t="s">
        <v>71</v>
      </c>
      <c r="B46" t="s">
        <v>424</v>
      </c>
      <c r="C46">
        <v>156</v>
      </c>
      <c r="D46">
        <v>194</v>
      </c>
      <c r="E46">
        <v>162</v>
      </c>
      <c r="F46">
        <v>196</v>
      </c>
      <c r="G46">
        <v>157</v>
      </c>
      <c r="H46">
        <v>163</v>
      </c>
      <c r="I46">
        <v>1028</v>
      </c>
      <c r="J46" s="41">
        <v>-147</v>
      </c>
    </row>
    <row r="47" spans="1:10" ht="14.25" customHeight="1">
      <c r="A47" t="s">
        <v>35</v>
      </c>
      <c r="B47" t="s">
        <v>397</v>
      </c>
      <c r="C47">
        <v>164</v>
      </c>
      <c r="D47">
        <v>151</v>
      </c>
      <c r="E47">
        <v>156</v>
      </c>
      <c r="F47">
        <v>202</v>
      </c>
      <c r="G47">
        <v>171</v>
      </c>
      <c r="H47">
        <v>177</v>
      </c>
      <c r="I47">
        <v>1021</v>
      </c>
      <c r="J47" s="41">
        <v>-154</v>
      </c>
    </row>
    <row r="48" spans="1:10" ht="14.25" customHeight="1">
      <c r="A48" t="s">
        <v>144</v>
      </c>
      <c r="B48" t="s">
        <v>457</v>
      </c>
      <c r="C48">
        <v>171</v>
      </c>
      <c r="D48">
        <v>140</v>
      </c>
      <c r="E48">
        <v>181</v>
      </c>
      <c r="F48">
        <v>192</v>
      </c>
      <c r="G48">
        <v>174</v>
      </c>
      <c r="H48">
        <v>162</v>
      </c>
      <c r="I48">
        <v>1020</v>
      </c>
      <c r="J48" s="41">
        <v>-155</v>
      </c>
    </row>
    <row r="49" spans="1:10" ht="14.25" customHeight="1">
      <c r="A49" t="s">
        <v>230</v>
      </c>
      <c r="B49" t="s">
        <v>530</v>
      </c>
      <c r="C49">
        <v>177</v>
      </c>
      <c r="D49">
        <v>148</v>
      </c>
      <c r="E49">
        <v>166</v>
      </c>
      <c r="F49">
        <v>180</v>
      </c>
      <c r="G49">
        <v>186</v>
      </c>
      <c r="H49">
        <v>163</v>
      </c>
      <c r="I49">
        <v>1020</v>
      </c>
      <c r="J49" s="41">
        <v>-155</v>
      </c>
    </row>
    <row r="50" spans="1:10" ht="14.25" customHeight="1">
      <c r="A50" t="s">
        <v>650</v>
      </c>
      <c r="B50" t="s">
        <v>640</v>
      </c>
      <c r="C50">
        <v>157</v>
      </c>
      <c r="D50">
        <v>149</v>
      </c>
      <c r="E50">
        <v>186</v>
      </c>
      <c r="F50">
        <v>181</v>
      </c>
      <c r="G50">
        <v>155</v>
      </c>
      <c r="H50">
        <v>191</v>
      </c>
      <c r="I50">
        <v>1019</v>
      </c>
      <c r="J50" s="41">
        <v>-156</v>
      </c>
    </row>
    <row r="51" spans="1:10" ht="14.25" customHeight="1">
      <c r="A51" t="s">
        <v>96</v>
      </c>
      <c r="B51" t="s">
        <v>444</v>
      </c>
      <c r="C51">
        <v>200</v>
      </c>
      <c r="D51">
        <v>158</v>
      </c>
      <c r="E51">
        <v>179</v>
      </c>
      <c r="F51">
        <v>180</v>
      </c>
      <c r="G51">
        <v>153</v>
      </c>
      <c r="H51">
        <v>145</v>
      </c>
      <c r="I51">
        <v>1015</v>
      </c>
      <c r="J51" s="41">
        <v>-160</v>
      </c>
    </row>
    <row r="52" spans="1:10" ht="14.25" customHeight="1">
      <c r="A52" t="s">
        <v>365</v>
      </c>
      <c r="B52" t="s">
        <v>368</v>
      </c>
      <c r="C52">
        <v>163</v>
      </c>
      <c r="D52">
        <v>132</v>
      </c>
      <c r="E52">
        <v>171</v>
      </c>
      <c r="F52">
        <v>192</v>
      </c>
      <c r="G52">
        <v>136</v>
      </c>
      <c r="H52">
        <v>215</v>
      </c>
      <c r="I52">
        <v>1009</v>
      </c>
      <c r="J52" s="41">
        <v>-166</v>
      </c>
    </row>
    <row r="53" spans="1:10" ht="14.25" customHeight="1">
      <c r="A53" t="s">
        <v>652</v>
      </c>
      <c r="B53" t="s">
        <v>518</v>
      </c>
      <c r="C53">
        <v>124</v>
      </c>
      <c r="D53">
        <v>198</v>
      </c>
      <c r="E53">
        <v>155</v>
      </c>
      <c r="F53">
        <v>189</v>
      </c>
      <c r="G53">
        <v>151</v>
      </c>
      <c r="H53">
        <v>189</v>
      </c>
      <c r="I53">
        <v>1006</v>
      </c>
      <c r="J53" s="41">
        <v>-169</v>
      </c>
    </row>
    <row r="54" spans="1:10" ht="14.25" customHeight="1">
      <c r="A54" t="s">
        <v>96</v>
      </c>
      <c r="B54" t="s">
        <v>446</v>
      </c>
      <c r="C54">
        <v>164</v>
      </c>
      <c r="D54">
        <v>154</v>
      </c>
      <c r="E54">
        <v>193</v>
      </c>
      <c r="F54">
        <v>140</v>
      </c>
      <c r="G54">
        <v>200</v>
      </c>
      <c r="H54">
        <v>154</v>
      </c>
      <c r="I54">
        <v>1005</v>
      </c>
      <c r="J54" s="41">
        <v>-170</v>
      </c>
    </row>
    <row r="55" spans="1:10" ht="14.25" customHeight="1">
      <c r="A55" t="s">
        <v>35</v>
      </c>
      <c r="B55" t="s">
        <v>396</v>
      </c>
      <c r="C55">
        <v>134</v>
      </c>
      <c r="D55">
        <v>142</v>
      </c>
      <c r="E55">
        <v>161</v>
      </c>
      <c r="F55">
        <v>221</v>
      </c>
      <c r="G55">
        <v>167</v>
      </c>
      <c r="H55">
        <v>179</v>
      </c>
      <c r="I55">
        <v>1004</v>
      </c>
      <c r="J55" s="41">
        <v>-171</v>
      </c>
    </row>
    <row r="56" spans="1:10" ht="14.25" customHeight="1">
      <c r="A56" t="s">
        <v>48</v>
      </c>
      <c r="B56" t="s">
        <v>406</v>
      </c>
      <c r="C56">
        <v>181</v>
      </c>
      <c r="D56">
        <v>190</v>
      </c>
      <c r="E56">
        <v>153</v>
      </c>
      <c r="F56">
        <v>189</v>
      </c>
      <c r="G56">
        <v>133</v>
      </c>
      <c r="H56">
        <v>158</v>
      </c>
      <c r="I56">
        <v>1004</v>
      </c>
      <c r="J56" s="41">
        <v>-171</v>
      </c>
    </row>
    <row r="57" spans="1:10" ht="14.25" customHeight="1">
      <c r="A57" t="s">
        <v>162</v>
      </c>
      <c r="B57" t="s">
        <v>470</v>
      </c>
      <c r="C57">
        <v>200</v>
      </c>
      <c r="D57">
        <v>140</v>
      </c>
      <c r="E57">
        <v>199</v>
      </c>
      <c r="F57">
        <v>124</v>
      </c>
      <c r="G57">
        <v>162</v>
      </c>
      <c r="H57">
        <v>177</v>
      </c>
      <c r="I57">
        <v>1002</v>
      </c>
      <c r="J57" s="41">
        <v>-173</v>
      </c>
    </row>
    <row r="58" spans="1:10" ht="14.25" customHeight="1">
      <c r="A58" t="s">
        <v>17</v>
      </c>
      <c r="B58" t="s">
        <v>352</v>
      </c>
      <c r="C58">
        <v>142</v>
      </c>
      <c r="D58">
        <v>169</v>
      </c>
      <c r="E58">
        <v>167</v>
      </c>
      <c r="F58">
        <v>216</v>
      </c>
      <c r="G58">
        <v>160</v>
      </c>
      <c r="H58">
        <v>146</v>
      </c>
      <c r="I58">
        <v>1000</v>
      </c>
      <c r="J58" s="41">
        <v>-175</v>
      </c>
    </row>
    <row r="59" spans="1:10" ht="14.25" customHeight="1">
      <c r="A59" t="s">
        <v>71</v>
      </c>
      <c r="B59" t="s">
        <v>421</v>
      </c>
      <c r="C59">
        <v>166</v>
      </c>
      <c r="D59">
        <v>167</v>
      </c>
      <c r="E59">
        <v>174</v>
      </c>
      <c r="F59">
        <v>157</v>
      </c>
      <c r="G59">
        <v>168</v>
      </c>
      <c r="H59">
        <v>168</v>
      </c>
      <c r="I59">
        <v>1000</v>
      </c>
      <c r="J59" s="41">
        <v>-175</v>
      </c>
    </row>
    <row r="60" spans="1:10" ht="14.25" customHeight="1">
      <c r="A60" t="s">
        <v>340</v>
      </c>
      <c r="B60" t="s">
        <v>341</v>
      </c>
      <c r="C60">
        <v>192</v>
      </c>
      <c r="D60">
        <v>171</v>
      </c>
      <c r="E60">
        <v>140</v>
      </c>
      <c r="F60">
        <v>178</v>
      </c>
      <c r="G60">
        <v>184</v>
      </c>
      <c r="H60">
        <v>133</v>
      </c>
      <c r="I60">
        <v>998</v>
      </c>
      <c r="J60" s="41">
        <v>-177</v>
      </c>
    </row>
    <row r="61" spans="1:10" ht="14.25" customHeight="1">
      <c r="A61" t="s">
        <v>493</v>
      </c>
      <c r="B61" t="s">
        <v>495</v>
      </c>
      <c r="C61">
        <v>164</v>
      </c>
      <c r="D61">
        <v>167</v>
      </c>
      <c r="E61">
        <v>170</v>
      </c>
      <c r="F61">
        <v>189</v>
      </c>
      <c r="G61">
        <v>183</v>
      </c>
      <c r="H61">
        <v>125</v>
      </c>
      <c r="I61">
        <v>998</v>
      </c>
      <c r="J61" s="41">
        <v>-177</v>
      </c>
    </row>
    <row r="62" spans="1:10" ht="14.25" customHeight="1">
      <c r="A62" t="s">
        <v>502</v>
      </c>
      <c r="B62" t="s">
        <v>503</v>
      </c>
      <c r="C62">
        <v>137</v>
      </c>
      <c r="D62">
        <v>169</v>
      </c>
      <c r="E62">
        <v>182</v>
      </c>
      <c r="F62">
        <v>159</v>
      </c>
      <c r="G62">
        <v>184</v>
      </c>
      <c r="H62">
        <v>166</v>
      </c>
      <c r="I62">
        <v>997</v>
      </c>
      <c r="J62" s="41">
        <v>-178</v>
      </c>
    </row>
    <row r="63" spans="1:10" ht="14.25" customHeight="1">
      <c r="A63" t="s">
        <v>379</v>
      </c>
      <c r="B63" t="s">
        <v>382</v>
      </c>
      <c r="C63">
        <v>192</v>
      </c>
      <c r="D63">
        <v>162</v>
      </c>
      <c r="E63">
        <v>171</v>
      </c>
      <c r="F63">
        <v>152</v>
      </c>
      <c r="G63">
        <v>149</v>
      </c>
      <c r="H63">
        <v>165</v>
      </c>
      <c r="I63">
        <v>991</v>
      </c>
      <c r="J63" s="41">
        <v>-184</v>
      </c>
    </row>
    <row r="64" spans="1:10" ht="14.25" customHeight="1">
      <c r="A64" t="s">
        <v>502</v>
      </c>
      <c r="B64" t="s">
        <v>506</v>
      </c>
      <c r="C64">
        <v>202</v>
      </c>
      <c r="D64">
        <v>217</v>
      </c>
      <c r="E64">
        <v>113</v>
      </c>
      <c r="F64">
        <v>144</v>
      </c>
      <c r="G64">
        <v>161</v>
      </c>
      <c r="H64">
        <v>154</v>
      </c>
      <c r="I64">
        <v>991</v>
      </c>
      <c r="J64" s="41">
        <v>-184</v>
      </c>
    </row>
    <row r="65" spans="1:10" ht="14.25" customHeight="1">
      <c r="A65" t="s">
        <v>230</v>
      </c>
      <c r="B65" t="s">
        <v>528</v>
      </c>
      <c r="C65">
        <v>146</v>
      </c>
      <c r="D65">
        <v>159</v>
      </c>
      <c r="E65">
        <v>159</v>
      </c>
      <c r="F65">
        <v>154</v>
      </c>
      <c r="G65">
        <v>208</v>
      </c>
      <c r="H65">
        <v>165</v>
      </c>
      <c r="I65">
        <v>991</v>
      </c>
      <c r="J65" s="41">
        <v>-184</v>
      </c>
    </row>
    <row r="66" spans="1:10" ht="14.25" customHeight="1">
      <c r="A66" t="s">
        <v>385</v>
      </c>
      <c r="B66" t="s">
        <v>387</v>
      </c>
      <c r="C66">
        <v>176</v>
      </c>
      <c r="D66">
        <v>177</v>
      </c>
      <c r="E66">
        <v>189</v>
      </c>
      <c r="F66">
        <v>151</v>
      </c>
      <c r="G66">
        <v>153</v>
      </c>
      <c r="H66">
        <v>143</v>
      </c>
      <c r="I66">
        <v>989</v>
      </c>
      <c r="J66" s="41">
        <v>-186</v>
      </c>
    </row>
    <row r="67" spans="1:10" ht="14.25" customHeight="1">
      <c r="A67" t="s">
        <v>649</v>
      </c>
      <c r="B67" t="s">
        <v>540</v>
      </c>
      <c r="C67">
        <v>185</v>
      </c>
      <c r="D67">
        <v>181</v>
      </c>
      <c r="E67">
        <v>132</v>
      </c>
      <c r="F67">
        <v>184</v>
      </c>
      <c r="G67">
        <v>149</v>
      </c>
      <c r="H67">
        <v>157</v>
      </c>
      <c r="I67">
        <v>988</v>
      </c>
      <c r="J67" s="41">
        <v>-187</v>
      </c>
    </row>
    <row r="68" spans="1:10" ht="14.25" customHeight="1">
      <c r="A68" t="s">
        <v>332</v>
      </c>
      <c r="B68" t="s">
        <v>334</v>
      </c>
      <c r="C68">
        <v>157</v>
      </c>
      <c r="D68">
        <v>175</v>
      </c>
      <c r="E68">
        <v>132</v>
      </c>
      <c r="F68">
        <v>197</v>
      </c>
      <c r="G68">
        <v>192</v>
      </c>
      <c r="H68">
        <v>134</v>
      </c>
      <c r="I68">
        <v>987</v>
      </c>
      <c r="J68" s="41">
        <v>-188</v>
      </c>
    </row>
    <row r="69" spans="1:10" ht="14.25" customHeight="1">
      <c r="A69" t="s">
        <v>365</v>
      </c>
      <c r="B69" t="s">
        <v>370</v>
      </c>
      <c r="C69">
        <v>138</v>
      </c>
      <c r="D69">
        <v>184</v>
      </c>
      <c r="E69">
        <v>166</v>
      </c>
      <c r="F69">
        <v>187</v>
      </c>
      <c r="G69">
        <v>156</v>
      </c>
      <c r="H69">
        <v>156</v>
      </c>
      <c r="I69">
        <v>987</v>
      </c>
      <c r="J69" s="41">
        <v>-188</v>
      </c>
    </row>
    <row r="70" spans="1:10" ht="14.25" customHeight="1">
      <c r="A70" t="s">
        <v>532</v>
      </c>
      <c r="B70" t="s">
        <v>537</v>
      </c>
      <c r="C70">
        <v>158</v>
      </c>
      <c r="D70">
        <v>175</v>
      </c>
      <c r="E70">
        <v>171</v>
      </c>
      <c r="F70">
        <v>114</v>
      </c>
      <c r="G70">
        <v>194</v>
      </c>
      <c r="H70">
        <v>174</v>
      </c>
      <c r="I70">
        <v>986</v>
      </c>
      <c r="J70" s="41">
        <v>-189</v>
      </c>
    </row>
    <row r="71" spans="1:10" ht="14.25" customHeight="1">
      <c r="A71" t="s">
        <v>649</v>
      </c>
      <c r="B71" t="s">
        <v>541</v>
      </c>
      <c r="C71">
        <v>169</v>
      </c>
      <c r="D71">
        <v>195</v>
      </c>
      <c r="E71">
        <v>156</v>
      </c>
      <c r="F71">
        <v>172</v>
      </c>
      <c r="G71">
        <v>123</v>
      </c>
      <c r="H71">
        <v>169</v>
      </c>
      <c r="I71">
        <v>984</v>
      </c>
      <c r="J71" s="41">
        <v>-191</v>
      </c>
    </row>
    <row r="72" spans="1:10" ht="14.25" customHeight="1">
      <c r="A72" t="s">
        <v>17</v>
      </c>
      <c r="B72" t="s">
        <v>347</v>
      </c>
      <c r="C72">
        <v>181</v>
      </c>
      <c r="D72">
        <v>176</v>
      </c>
      <c r="E72">
        <v>165</v>
      </c>
      <c r="F72">
        <v>149</v>
      </c>
      <c r="G72">
        <v>153</v>
      </c>
      <c r="H72">
        <v>159</v>
      </c>
      <c r="I72">
        <v>983</v>
      </c>
      <c r="J72" s="41">
        <v>-192</v>
      </c>
    </row>
    <row r="73" spans="1:10" ht="14.25" customHeight="1">
      <c r="A73" t="s">
        <v>162</v>
      </c>
      <c r="B73" t="s">
        <v>471</v>
      </c>
      <c r="C73">
        <v>175</v>
      </c>
      <c r="D73">
        <v>163</v>
      </c>
      <c r="E73">
        <v>166</v>
      </c>
      <c r="F73">
        <v>136</v>
      </c>
      <c r="G73">
        <v>153</v>
      </c>
      <c r="H73">
        <v>190</v>
      </c>
      <c r="I73">
        <v>983</v>
      </c>
      <c r="J73" s="41">
        <v>-192</v>
      </c>
    </row>
    <row r="74" spans="1:10" ht="14.25" customHeight="1">
      <c r="A74" t="s">
        <v>652</v>
      </c>
      <c r="B74" t="s">
        <v>519</v>
      </c>
      <c r="C74">
        <v>155</v>
      </c>
      <c r="D74">
        <v>187</v>
      </c>
      <c r="E74">
        <v>202</v>
      </c>
      <c r="F74">
        <v>168</v>
      </c>
      <c r="G74">
        <v>147</v>
      </c>
      <c r="H74">
        <v>124</v>
      </c>
      <c r="I74">
        <v>983</v>
      </c>
      <c r="J74" s="41">
        <v>-192</v>
      </c>
    </row>
    <row r="75" spans="1:10" ht="14.25" customHeight="1">
      <c r="A75" t="s">
        <v>153</v>
      </c>
      <c r="B75" t="s">
        <v>463</v>
      </c>
      <c r="C75">
        <v>208</v>
      </c>
      <c r="D75">
        <v>140</v>
      </c>
      <c r="E75">
        <v>163</v>
      </c>
      <c r="F75">
        <v>159</v>
      </c>
      <c r="G75">
        <v>149</v>
      </c>
      <c r="H75">
        <v>162</v>
      </c>
      <c r="I75">
        <v>981</v>
      </c>
      <c r="J75" s="41">
        <v>-194</v>
      </c>
    </row>
    <row r="76" spans="1:10" ht="14.25" customHeight="1">
      <c r="A76" t="s">
        <v>486</v>
      </c>
      <c r="B76" t="s">
        <v>575</v>
      </c>
      <c r="C76">
        <v>169</v>
      </c>
      <c r="D76">
        <v>179</v>
      </c>
      <c r="E76">
        <v>188</v>
      </c>
      <c r="F76">
        <v>136</v>
      </c>
      <c r="G76">
        <v>168</v>
      </c>
      <c r="H76">
        <v>137</v>
      </c>
      <c r="I76">
        <v>977</v>
      </c>
      <c r="J76" s="41">
        <v>-198</v>
      </c>
    </row>
    <row r="77" spans="1:10" ht="14.25" customHeight="1">
      <c r="A77" t="s">
        <v>79</v>
      </c>
      <c r="B77" t="s">
        <v>427</v>
      </c>
      <c r="C77">
        <v>176</v>
      </c>
      <c r="D77">
        <v>181</v>
      </c>
      <c r="E77">
        <v>136</v>
      </c>
      <c r="F77">
        <v>150</v>
      </c>
      <c r="G77">
        <v>168</v>
      </c>
      <c r="H77">
        <v>165</v>
      </c>
      <c r="I77">
        <v>976</v>
      </c>
      <c r="J77" s="41">
        <v>-199</v>
      </c>
    </row>
    <row r="78" spans="1:10" ht="14.25" customHeight="1">
      <c r="A78" t="s">
        <v>87</v>
      </c>
      <c r="B78" t="s">
        <v>569</v>
      </c>
      <c r="C78">
        <v>145</v>
      </c>
      <c r="D78">
        <v>186</v>
      </c>
      <c r="E78">
        <v>162</v>
      </c>
      <c r="F78">
        <v>134</v>
      </c>
      <c r="G78">
        <v>140</v>
      </c>
      <c r="H78">
        <v>207</v>
      </c>
      <c r="I78">
        <v>974</v>
      </c>
      <c r="J78" s="41">
        <v>-201</v>
      </c>
    </row>
    <row r="79" spans="1:10" ht="14.25" customHeight="1">
      <c r="A79" t="s">
        <v>433</v>
      </c>
      <c r="B79" t="s">
        <v>439</v>
      </c>
      <c r="C79">
        <v>157</v>
      </c>
      <c r="D79">
        <v>191</v>
      </c>
      <c r="E79">
        <v>135</v>
      </c>
      <c r="F79">
        <v>165</v>
      </c>
      <c r="G79">
        <v>164</v>
      </c>
      <c r="H79">
        <v>161</v>
      </c>
      <c r="I79">
        <v>973</v>
      </c>
      <c r="J79" s="41">
        <v>-202</v>
      </c>
    </row>
    <row r="80" spans="1:10" ht="14.25" customHeight="1">
      <c r="A80" t="s">
        <v>144</v>
      </c>
      <c r="B80" t="s">
        <v>453</v>
      </c>
      <c r="C80">
        <v>160</v>
      </c>
      <c r="D80">
        <v>143</v>
      </c>
      <c r="E80">
        <v>173</v>
      </c>
      <c r="F80">
        <v>178</v>
      </c>
      <c r="G80">
        <v>153</v>
      </c>
      <c r="H80">
        <v>166</v>
      </c>
      <c r="I80">
        <v>973</v>
      </c>
      <c r="J80" s="41">
        <v>-202</v>
      </c>
    </row>
    <row r="81" spans="1:10" ht="14.25" customHeight="1">
      <c r="A81" t="s">
        <v>79</v>
      </c>
      <c r="B81" t="s">
        <v>432</v>
      </c>
      <c r="C81">
        <v>210</v>
      </c>
      <c r="D81">
        <v>176</v>
      </c>
      <c r="E81">
        <v>164</v>
      </c>
      <c r="F81">
        <v>124</v>
      </c>
      <c r="G81">
        <v>174</v>
      </c>
      <c r="H81">
        <v>124</v>
      </c>
      <c r="I81">
        <v>972</v>
      </c>
      <c r="J81" s="41">
        <v>-203</v>
      </c>
    </row>
    <row r="82" spans="1:10" ht="14.25" customHeight="1">
      <c r="A82" t="s">
        <v>412</v>
      </c>
      <c r="B82" t="s">
        <v>413</v>
      </c>
      <c r="C82">
        <v>174</v>
      </c>
      <c r="D82">
        <v>180</v>
      </c>
      <c r="E82">
        <v>121</v>
      </c>
      <c r="F82">
        <v>164</v>
      </c>
      <c r="G82">
        <v>150</v>
      </c>
      <c r="H82">
        <v>175</v>
      </c>
      <c r="I82">
        <v>964</v>
      </c>
      <c r="J82" s="41">
        <v>-211</v>
      </c>
    </row>
    <row r="83" spans="1:10" ht="14.25" customHeight="1">
      <c r="A83" t="s">
        <v>372</v>
      </c>
      <c r="B83" t="s">
        <v>373</v>
      </c>
      <c r="C83">
        <v>191</v>
      </c>
      <c r="D83">
        <v>148</v>
      </c>
      <c r="E83">
        <v>151</v>
      </c>
      <c r="F83">
        <v>154</v>
      </c>
      <c r="G83">
        <v>156</v>
      </c>
      <c r="H83">
        <v>160</v>
      </c>
      <c r="I83">
        <v>960</v>
      </c>
      <c r="J83" s="41">
        <v>-215</v>
      </c>
    </row>
    <row r="84" spans="1:10" ht="14.25" customHeight="1">
      <c r="A84" t="s">
        <v>649</v>
      </c>
      <c r="B84" t="s">
        <v>639</v>
      </c>
      <c r="C84">
        <v>152</v>
      </c>
      <c r="D84">
        <v>170</v>
      </c>
      <c r="E84">
        <v>127</v>
      </c>
      <c r="F84">
        <v>170</v>
      </c>
      <c r="G84">
        <v>190</v>
      </c>
      <c r="H84">
        <v>151</v>
      </c>
      <c r="I84">
        <v>960</v>
      </c>
      <c r="J84" s="41">
        <v>-215</v>
      </c>
    </row>
    <row r="85" spans="1:10" ht="14.25" customHeight="1">
      <c r="A85" t="s">
        <v>126</v>
      </c>
      <c r="B85" t="s">
        <v>449</v>
      </c>
      <c r="C85">
        <v>147</v>
      </c>
      <c r="D85">
        <v>171</v>
      </c>
      <c r="E85">
        <v>137</v>
      </c>
      <c r="F85">
        <v>192</v>
      </c>
      <c r="G85">
        <v>144</v>
      </c>
      <c r="H85">
        <v>162</v>
      </c>
      <c r="I85">
        <v>953</v>
      </c>
      <c r="J85" s="41">
        <v>-222</v>
      </c>
    </row>
    <row r="86" spans="1:10" ht="14.25" customHeight="1">
      <c r="A86" t="s">
        <v>631</v>
      </c>
      <c r="B86" t="s">
        <v>644</v>
      </c>
      <c r="C86">
        <v>155</v>
      </c>
      <c r="D86">
        <v>162</v>
      </c>
      <c r="E86">
        <v>166</v>
      </c>
      <c r="F86">
        <v>140</v>
      </c>
      <c r="G86">
        <v>157</v>
      </c>
      <c r="H86">
        <v>173</v>
      </c>
      <c r="I86">
        <v>953</v>
      </c>
      <c r="J86" s="41">
        <v>-222</v>
      </c>
    </row>
    <row r="87" spans="1:10" ht="14.25" customHeight="1">
      <c r="A87" t="s">
        <v>153</v>
      </c>
      <c r="B87" t="s">
        <v>459</v>
      </c>
      <c r="C87">
        <v>163</v>
      </c>
      <c r="D87">
        <v>178</v>
      </c>
      <c r="E87">
        <v>129</v>
      </c>
      <c r="F87">
        <v>178</v>
      </c>
      <c r="G87">
        <v>177</v>
      </c>
      <c r="H87">
        <v>126</v>
      </c>
      <c r="I87">
        <v>951</v>
      </c>
      <c r="J87" s="41">
        <v>-224</v>
      </c>
    </row>
    <row r="88" spans="1:10" ht="14.25" customHeight="1">
      <c r="A88" t="s">
        <v>412</v>
      </c>
      <c r="B88" t="s">
        <v>414</v>
      </c>
      <c r="C88">
        <v>150</v>
      </c>
      <c r="D88">
        <v>178</v>
      </c>
      <c r="E88">
        <v>190</v>
      </c>
      <c r="F88">
        <v>146</v>
      </c>
      <c r="G88">
        <v>160</v>
      </c>
      <c r="H88">
        <v>126</v>
      </c>
      <c r="I88">
        <v>950</v>
      </c>
      <c r="J88" s="41">
        <v>-225</v>
      </c>
    </row>
    <row r="89" spans="1:10" ht="14.25" customHeight="1">
      <c r="A89" t="s">
        <v>365</v>
      </c>
      <c r="B89" t="s">
        <v>367</v>
      </c>
      <c r="C89">
        <v>145</v>
      </c>
      <c r="D89">
        <v>150</v>
      </c>
      <c r="E89">
        <v>154</v>
      </c>
      <c r="F89">
        <v>182</v>
      </c>
      <c r="G89">
        <v>154</v>
      </c>
      <c r="H89">
        <v>158</v>
      </c>
      <c r="I89">
        <v>943</v>
      </c>
      <c r="J89" s="41">
        <v>-232</v>
      </c>
    </row>
    <row r="90" spans="1:10" ht="14.25" customHeight="1">
      <c r="A90" t="s">
        <v>532</v>
      </c>
      <c r="B90" t="s">
        <v>534</v>
      </c>
      <c r="C90">
        <v>162</v>
      </c>
      <c r="D90">
        <v>177</v>
      </c>
      <c r="E90">
        <v>168</v>
      </c>
      <c r="F90">
        <v>148</v>
      </c>
      <c r="G90">
        <v>142</v>
      </c>
      <c r="H90">
        <v>146</v>
      </c>
      <c r="I90">
        <v>943</v>
      </c>
      <c r="J90" s="41">
        <v>-232</v>
      </c>
    </row>
    <row r="91" spans="1:10" ht="14.25" customHeight="1">
      <c r="A91" t="s">
        <v>221</v>
      </c>
      <c r="B91" t="s">
        <v>522</v>
      </c>
      <c r="C91">
        <v>165</v>
      </c>
      <c r="D91">
        <v>168</v>
      </c>
      <c r="E91">
        <v>178</v>
      </c>
      <c r="F91">
        <v>144</v>
      </c>
      <c r="G91">
        <v>152</v>
      </c>
      <c r="H91">
        <v>135</v>
      </c>
      <c r="I91">
        <v>942</v>
      </c>
      <c r="J91" s="41">
        <v>-233</v>
      </c>
    </row>
    <row r="92" spans="1:10" ht="14.25" customHeight="1">
      <c r="A92" t="s">
        <v>493</v>
      </c>
      <c r="B92" t="s">
        <v>497</v>
      </c>
      <c r="C92">
        <v>0</v>
      </c>
      <c r="D92">
        <v>184</v>
      </c>
      <c r="E92">
        <v>181</v>
      </c>
      <c r="F92">
        <v>177</v>
      </c>
      <c r="G92">
        <v>227</v>
      </c>
      <c r="H92">
        <v>172</v>
      </c>
      <c r="I92">
        <v>941</v>
      </c>
      <c r="J92" s="41">
        <v>-234</v>
      </c>
    </row>
    <row r="93" spans="1:10" ht="14.25" customHeight="1">
      <c r="A93" t="s">
        <v>353</v>
      </c>
      <c r="B93" t="s">
        <v>356</v>
      </c>
      <c r="C93">
        <v>160</v>
      </c>
      <c r="D93">
        <v>157</v>
      </c>
      <c r="E93">
        <v>180</v>
      </c>
      <c r="F93">
        <v>169</v>
      </c>
      <c r="G93">
        <v>160</v>
      </c>
      <c r="H93">
        <v>112</v>
      </c>
      <c r="I93">
        <v>938</v>
      </c>
      <c r="J93" s="41">
        <v>-237</v>
      </c>
    </row>
    <row r="94" spans="1:10" ht="14.25" customHeight="1">
      <c r="A94" t="s">
        <v>316</v>
      </c>
      <c r="B94" t="s">
        <v>552</v>
      </c>
      <c r="C94">
        <v>163</v>
      </c>
      <c r="D94">
        <v>149</v>
      </c>
      <c r="E94">
        <v>166</v>
      </c>
      <c r="F94">
        <v>129</v>
      </c>
      <c r="G94">
        <v>158</v>
      </c>
      <c r="H94">
        <v>168</v>
      </c>
      <c r="I94">
        <v>933</v>
      </c>
      <c r="J94" s="41">
        <v>-242</v>
      </c>
    </row>
    <row r="95" spans="1:10" ht="14.25" customHeight="1">
      <c r="A95" t="s">
        <v>353</v>
      </c>
      <c r="B95" t="s">
        <v>355</v>
      </c>
      <c r="C95">
        <v>171</v>
      </c>
      <c r="D95">
        <v>118</v>
      </c>
      <c r="E95">
        <v>181</v>
      </c>
      <c r="F95">
        <v>196</v>
      </c>
      <c r="G95">
        <v>135</v>
      </c>
      <c r="H95">
        <v>124</v>
      </c>
      <c r="I95">
        <v>925</v>
      </c>
      <c r="J95" s="41">
        <v>-250</v>
      </c>
    </row>
    <row r="96" spans="1:10" ht="14.25" customHeight="1">
      <c r="A96" t="s">
        <v>652</v>
      </c>
      <c r="B96" t="s">
        <v>517</v>
      </c>
      <c r="C96">
        <v>187</v>
      </c>
      <c r="D96">
        <v>205</v>
      </c>
      <c r="E96">
        <v>156</v>
      </c>
      <c r="F96">
        <v>134</v>
      </c>
      <c r="G96">
        <v>113</v>
      </c>
      <c r="H96">
        <v>130</v>
      </c>
      <c r="I96">
        <v>925</v>
      </c>
      <c r="J96" s="41">
        <v>-250</v>
      </c>
    </row>
    <row r="97" spans="1:10" ht="14.25" customHeight="1">
      <c r="A97" t="s">
        <v>502</v>
      </c>
      <c r="B97" t="s">
        <v>504</v>
      </c>
      <c r="C97">
        <v>176</v>
      </c>
      <c r="D97">
        <v>147</v>
      </c>
      <c r="E97">
        <v>152</v>
      </c>
      <c r="F97">
        <v>136</v>
      </c>
      <c r="G97">
        <v>169</v>
      </c>
      <c r="H97">
        <v>137</v>
      </c>
      <c r="I97">
        <v>917</v>
      </c>
      <c r="J97" s="41">
        <v>-258</v>
      </c>
    </row>
    <row r="98" spans="1:10" ht="14.25" customHeight="1">
      <c r="A98" t="s">
        <v>652</v>
      </c>
      <c r="B98" t="s">
        <v>515</v>
      </c>
      <c r="C98">
        <v>114</v>
      </c>
      <c r="D98">
        <v>156</v>
      </c>
      <c r="E98">
        <v>175</v>
      </c>
      <c r="F98">
        <v>178</v>
      </c>
      <c r="G98">
        <v>153</v>
      </c>
      <c r="H98">
        <v>140</v>
      </c>
      <c r="I98">
        <v>916</v>
      </c>
      <c r="J98" s="41">
        <v>-259</v>
      </c>
    </row>
    <row r="99" spans="1:10" ht="14.25" customHeight="1">
      <c r="A99" t="s">
        <v>379</v>
      </c>
      <c r="B99" t="s">
        <v>384</v>
      </c>
      <c r="C99">
        <v>162</v>
      </c>
      <c r="D99">
        <v>132</v>
      </c>
      <c r="E99">
        <v>162</v>
      </c>
      <c r="F99">
        <v>167</v>
      </c>
      <c r="G99">
        <v>162</v>
      </c>
      <c r="H99">
        <v>127</v>
      </c>
      <c r="I99">
        <v>912</v>
      </c>
      <c r="J99" s="41">
        <v>-263</v>
      </c>
    </row>
    <row r="100" spans="1:10" ht="14.25" customHeight="1">
      <c r="A100" t="s">
        <v>340</v>
      </c>
      <c r="B100" t="s">
        <v>342</v>
      </c>
      <c r="C100">
        <v>178</v>
      </c>
      <c r="D100">
        <v>164</v>
      </c>
      <c r="E100">
        <v>131</v>
      </c>
      <c r="F100">
        <v>129</v>
      </c>
      <c r="G100">
        <v>170</v>
      </c>
      <c r="H100">
        <v>135</v>
      </c>
      <c r="I100">
        <v>907</v>
      </c>
      <c r="J100" s="41">
        <v>-268</v>
      </c>
    </row>
    <row r="101" spans="1:10" ht="14.25" customHeight="1">
      <c r="A101" t="s">
        <v>398</v>
      </c>
      <c r="B101" t="s">
        <v>401</v>
      </c>
      <c r="C101">
        <v>137</v>
      </c>
      <c r="D101">
        <v>158</v>
      </c>
      <c r="E101">
        <v>118</v>
      </c>
      <c r="F101">
        <v>144</v>
      </c>
      <c r="G101">
        <v>157</v>
      </c>
      <c r="H101">
        <v>191</v>
      </c>
      <c r="I101">
        <v>905</v>
      </c>
      <c r="J101" s="41">
        <v>-270</v>
      </c>
    </row>
    <row r="102" spans="1:10" ht="14.25" customHeight="1">
      <c r="A102" t="s">
        <v>87</v>
      </c>
      <c r="B102" t="s">
        <v>570</v>
      </c>
      <c r="C102">
        <v>182</v>
      </c>
      <c r="D102">
        <v>130</v>
      </c>
      <c r="E102">
        <v>152</v>
      </c>
      <c r="F102">
        <v>135</v>
      </c>
      <c r="G102">
        <v>145</v>
      </c>
      <c r="H102">
        <v>155</v>
      </c>
      <c r="I102">
        <v>899</v>
      </c>
      <c r="J102" s="41">
        <v>-276</v>
      </c>
    </row>
    <row r="103" spans="1:10" ht="14.25" customHeight="1">
      <c r="A103" t="s">
        <v>79</v>
      </c>
      <c r="B103" t="s">
        <v>431</v>
      </c>
      <c r="C103">
        <v>139</v>
      </c>
      <c r="D103">
        <v>158</v>
      </c>
      <c r="E103">
        <v>202</v>
      </c>
      <c r="F103">
        <v>139</v>
      </c>
      <c r="G103">
        <v>116</v>
      </c>
      <c r="H103">
        <v>142</v>
      </c>
      <c r="I103">
        <v>896</v>
      </c>
      <c r="J103" s="41">
        <v>-279</v>
      </c>
    </row>
    <row r="104" spans="1:10" ht="14.25" customHeight="1">
      <c r="A104" t="s">
        <v>372</v>
      </c>
      <c r="B104" t="s">
        <v>377</v>
      </c>
      <c r="C104">
        <v>219</v>
      </c>
      <c r="D104">
        <v>146</v>
      </c>
      <c r="E104">
        <v>130</v>
      </c>
      <c r="F104">
        <v>122</v>
      </c>
      <c r="G104">
        <v>133</v>
      </c>
      <c r="H104">
        <v>143</v>
      </c>
      <c r="I104">
        <v>893</v>
      </c>
      <c r="J104" s="41">
        <v>-282</v>
      </c>
    </row>
    <row r="105" spans="1:10" ht="14.25" customHeight="1">
      <c r="A105" t="s">
        <v>353</v>
      </c>
      <c r="B105" t="s">
        <v>633</v>
      </c>
      <c r="C105">
        <v>174</v>
      </c>
      <c r="D105">
        <v>151</v>
      </c>
      <c r="E105">
        <v>160</v>
      </c>
      <c r="F105">
        <v>133</v>
      </c>
      <c r="G105">
        <v>147</v>
      </c>
      <c r="H105">
        <v>127</v>
      </c>
      <c r="I105">
        <v>892</v>
      </c>
      <c r="J105" s="41">
        <v>-283</v>
      </c>
    </row>
    <row r="106" spans="1:10" ht="14.25" customHeight="1">
      <c r="A106" t="s">
        <v>87</v>
      </c>
      <c r="B106" t="s">
        <v>567</v>
      </c>
      <c r="C106">
        <v>161</v>
      </c>
      <c r="D106">
        <v>166</v>
      </c>
      <c r="E106">
        <v>104</v>
      </c>
      <c r="F106">
        <v>143</v>
      </c>
      <c r="G106">
        <v>133</v>
      </c>
      <c r="H106">
        <v>180</v>
      </c>
      <c r="I106">
        <v>887</v>
      </c>
      <c r="J106" s="41">
        <v>-288</v>
      </c>
    </row>
    <row r="107" spans="1:10" ht="14.25" customHeight="1">
      <c r="A107" t="s">
        <v>502</v>
      </c>
      <c r="B107" t="s">
        <v>507</v>
      </c>
      <c r="C107">
        <v>141</v>
      </c>
      <c r="D107">
        <v>159</v>
      </c>
      <c r="E107">
        <v>144</v>
      </c>
      <c r="F107">
        <v>121</v>
      </c>
      <c r="G107">
        <v>181</v>
      </c>
      <c r="H107">
        <v>141</v>
      </c>
      <c r="I107">
        <v>887</v>
      </c>
      <c r="J107" s="41">
        <v>-288</v>
      </c>
    </row>
    <row r="108" spans="1:10" ht="14.25" customHeight="1">
      <c r="A108" t="s">
        <v>230</v>
      </c>
      <c r="B108" t="s">
        <v>527</v>
      </c>
      <c r="C108">
        <v>201</v>
      </c>
      <c r="D108">
        <v>155</v>
      </c>
      <c r="E108">
        <v>144</v>
      </c>
      <c r="F108">
        <v>145</v>
      </c>
      <c r="G108">
        <v>120</v>
      </c>
      <c r="H108">
        <v>122</v>
      </c>
      <c r="I108">
        <v>887</v>
      </c>
      <c r="J108" s="41">
        <v>-288</v>
      </c>
    </row>
    <row r="109" spans="1:10" ht="14.25" customHeight="1">
      <c r="A109" t="s">
        <v>126</v>
      </c>
      <c r="B109" t="s">
        <v>447</v>
      </c>
      <c r="C109">
        <v>131</v>
      </c>
      <c r="D109">
        <v>181</v>
      </c>
      <c r="E109">
        <v>115</v>
      </c>
      <c r="F109">
        <v>159</v>
      </c>
      <c r="G109">
        <v>163</v>
      </c>
      <c r="H109">
        <v>136</v>
      </c>
      <c r="I109">
        <v>885</v>
      </c>
      <c r="J109" s="41">
        <v>-290</v>
      </c>
    </row>
    <row r="110" spans="1:10" ht="14.25" customHeight="1">
      <c r="A110" t="s">
        <v>631</v>
      </c>
      <c r="B110" t="s">
        <v>641</v>
      </c>
      <c r="C110">
        <v>155</v>
      </c>
      <c r="D110">
        <v>166</v>
      </c>
      <c r="E110">
        <v>112</v>
      </c>
      <c r="F110">
        <v>159</v>
      </c>
      <c r="G110">
        <v>135</v>
      </c>
      <c r="H110">
        <v>151</v>
      </c>
      <c r="I110">
        <v>878</v>
      </c>
      <c r="J110" s="41">
        <v>-297</v>
      </c>
    </row>
    <row r="111" spans="1:10" ht="14.25" customHeight="1">
      <c r="A111" t="s">
        <v>353</v>
      </c>
      <c r="B111" t="s">
        <v>354</v>
      </c>
      <c r="C111">
        <v>132</v>
      </c>
      <c r="D111">
        <v>133</v>
      </c>
      <c r="E111">
        <v>155</v>
      </c>
      <c r="F111">
        <v>121</v>
      </c>
      <c r="G111">
        <v>177</v>
      </c>
      <c r="H111">
        <v>152</v>
      </c>
      <c r="I111">
        <v>870</v>
      </c>
      <c r="J111" s="41">
        <v>-305</v>
      </c>
    </row>
    <row r="112" spans="1:10" ht="14.25" customHeight="1">
      <c r="A112" t="s">
        <v>87</v>
      </c>
      <c r="B112" t="s">
        <v>568</v>
      </c>
      <c r="C112">
        <v>95</v>
      </c>
      <c r="D112">
        <v>153</v>
      </c>
      <c r="E112">
        <v>167</v>
      </c>
      <c r="F112">
        <v>125</v>
      </c>
      <c r="G112">
        <v>180</v>
      </c>
      <c r="H112">
        <v>149</v>
      </c>
      <c r="I112">
        <v>869</v>
      </c>
      <c r="J112" s="41">
        <v>-306</v>
      </c>
    </row>
    <row r="113" spans="1:10" ht="14.25" customHeight="1">
      <c r="A113" t="s">
        <v>385</v>
      </c>
      <c r="B113" t="s">
        <v>391</v>
      </c>
      <c r="C113">
        <v>174</v>
      </c>
      <c r="D113">
        <v>133</v>
      </c>
      <c r="E113">
        <v>0</v>
      </c>
      <c r="F113">
        <v>176</v>
      </c>
      <c r="G113">
        <v>193</v>
      </c>
      <c r="H113">
        <v>191</v>
      </c>
      <c r="I113">
        <v>867</v>
      </c>
      <c r="J113" s="41">
        <v>-308</v>
      </c>
    </row>
    <row r="114" spans="1:10" ht="14.25" customHeight="1">
      <c r="A114" t="s">
        <v>532</v>
      </c>
      <c r="B114" t="s">
        <v>536</v>
      </c>
      <c r="C114">
        <v>139</v>
      </c>
      <c r="D114">
        <v>123</v>
      </c>
      <c r="E114">
        <v>172</v>
      </c>
      <c r="F114">
        <v>160</v>
      </c>
      <c r="G114">
        <v>145</v>
      </c>
      <c r="H114">
        <v>127</v>
      </c>
      <c r="I114">
        <v>866</v>
      </c>
      <c r="J114" s="41">
        <v>-309</v>
      </c>
    </row>
    <row r="115" spans="1:10" ht="14.25" customHeight="1">
      <c r="A115" t="s">
        <v>87</v>
      </c>
      <c r="B115" t="s">
        <v>566</v>
      </c>
      <c r="C115">
        <v>136</v>
      </c>
      <c r="D115">
        <v>124</v>
      </c>
      <c r="E115">
        <v>126</v>
      </c>
      <c r="F115">
        <v>179</v>
      </c>
      <c r="G115">
        <v>124</v>
      </c>
      <c r="H115">
        <v>160</v>
      </c>
      <c r="I115">
        <v>849</v>
      </c>
      <c r="J115" s="41">
        <v>-326</v>
      </c>
    </row>
    <row r="116" spans="1:10" ht="14.25" customHeight="1">
      <c r="A116" t="s">
        <v>153</v>
      </c>
      <c r="B116" t="s">
        <v>461</v>
      </c>
      <c r="C116">
        <v>120</v>
      </c>
      <c r="D116">
        <v>121</v>
      </c>
      <c r="E116">
        <v>150</v>
      </c>
      <c r="F116">
        <v>159</v>
      </c>
      <c r="G116">
        <v>177</v>
      </c>
      <c r="H116">
        <v>120</v>
      </c>
      <c r="I116">
        <v>847</v>
      </c>
      <c r="J116" s="41">
        <v>-328</v>
      </c>
    </row>
    <row r="117" spans="1:10" ht="14.25" customHeight="1">
      <c r="A117" t="s">
        <v>48</v>
      </c>
      <c r="B117" t="s">
        <v>409</v>
      </c>
      <c r="C117">
        <v>130</v>
      </c>
      <c r="D117">
        <v>154</v>
      </c>
      <c r="E117">
        <v>138</v>
      </c>
      <c r="F117">
        <v>152</v>
      </c>
      <c r="G117">
        <v>122</v>
      </c>
      <c r="H117">
        <v>149</v>
      </c>
      <c r="I117">
        <v>845</v>
      </c>
      <c r="J117" s="41">
        <v>-330</v>
      </c>
    </row>
    <row r="118" spans="1:10" ht="14.25" customHeight="1">
      <c r="A118" t="s">
        <v>385</v>
      </c>
      <c r="B118" t="s">
        <v>390</v>
      </c>
      <c r="C118">
        <v>153</v>
      </c>
      <c r="D118">
        <v>166</v>
      </c>
      <c r="E118">
        <v>183</v>
      </c>
      <c r="F118">
        <v>178</v>
      </c>
      <c r="G118">
        <v>157</v>
      </c>
      <c r="H118">
        <v>0</v>
      </c>
      <c r="I118">
        <v>837</v>
      </c>
      <c r="J118" s="41">
        <v>-338</v>
      </c>
    </row>
    <row r="119" spans="1:10" ht="14.25" customHeight="1">
      <c r="A119" t="s">
        <v>398</v>
      </c>
      <c r="B119" t="s">
        <v>402</v>
      </c>
      <c r="C119">
        <v>128</v>
      </c>
      <c r="D119">
        <v>137</v>
      </c>
      <c r="E119">
        <v>110</v>
      </c>
      <c r="F119">
        <v>164</v>
      </c>
      <c r="G119">
        <v>136</v>
      </c>
      <c r="H119">
        <v>158</v>
      </c>
      <c r="I119">
        <v>833</v>
      </c>
      <c r="J119" s="41">
        <v>-342</v>
      </c>
    </row>
    <row r="120" spans="1:10" ht="14.25" customHeight="1">
      <c r="A120" t="s">
        <v>372</v>
      </c>
      <c r="B120" t="s">
        <v>374</v>
      </c>
      <c r="C120">
        <v>144</v>
      </c>
      <c r="D120">
        <v>137</v>
      </c>
      <c r="E120">
        <v>167</v>
      </c>
      <c r="F120">
        <v>126</v>
      </c>
      <c r="G120">
        <v>124</v>
      </c>
      <c r="H120">
        <v>124</v>
      </c>
      <c r="I120">
        <v>822</v>
      </c>
      <c r="J120" s="41">
        <v>-353</v>
      </c>
    </row>
    <row r="121" spans="1:10" ht="15">
      <c r="A121" t="s">
        <v>230</v>
      </c>
      <c r="B121" t="s">
        <v>529</v>
      </c>
      <c r="C121">
        <v>121</v>
      </c>
      <c r="D121">
        <v>187</v>
      </c>
      <c r="E121">
        <v>120</v>
      </c>
      <c r="F121">
        <v>95</v>
      </c>
      <c r="G121">
        <v>110</v>
      </c>
      <c r="H121">
        <v>188</v>
      </c>
      <c r="I121">
        <v>821</v>
      </c>
      <c r="J121" s="41">
        <v>-354</v>
      </c>
    </row>
    <row r="122" spans="1:10" ht="15">
      <c r="A122" t="s">
        <v>385</v>
      </c>
      <c r="B122" t="s">
        <v>386</v>
      </c>
      <c r="C122">
        <v>149</v>
      </c>
      <c r="D122">
        <v>158</v>
      </c>
      <c r="E122">
        <v>182</v>
      </c>
      <c r="F122">
        <v>0</v>
      </c>
      <c r="G122">
        <v>177</v>
      </c>
      <c r="H122">
        <v>146</v>
      </c>
      <c r="I122">
        <v>812</v>
      </c>
      <c r="J122" s="41">
        <v>-363</v>
      </c>
    </row>
    <row r="123" spans="1:10" ht="15">
      <c r="A123" t="s">
        <v>502</v>
      </c>
      <c r="B123" t="s">
        <v>505</v>
      </c>
      <c r="C123">
        <v>159</v>
      </c>
      <c r="D123">
        <v>130</v>
      </c>
      <c r="E123">
        <v>147</v>
      </c>
      <c r="F123">
        <v>116</v>
      </c>
      <c r="G123">
        <v>114</v>
      </c>
      <c r="H123">
        <v>146</v>
      </c>
      <c r="I123">
        <v>812</v>
      </c>
      <c r="J123" s="41">
        <v>-363</v>
      </c>
    </row>
    <row r="124" spans="1:10" ht="15">
      <c r="A124" t="s">
        <v>631</v>
      </c>
      <c r="B124" t="s">
        <v>645</v>
      </c>
      <c r="C124">
        <v>120</v>
      </c>
      <c r="D124">
        <v>136</v>
      </c>
      <c r="E124">
        <v>155</v>
      </c>
      <c r="F124">
        <v>123</v>
      </c>
      <c r="G124">
        <v>153</v>
      </c>
      <c r="H124">
        <v>124</v>
      </c>
      <c r="I124">
        <v>811</v>
      </c>
      <c r="J124" s="41">
        <v>-364</v>
      </c>
    </row>
    <row r="125" spans="1:10" ht="15">
      <c r="A125" t="s">
        <v>486</v>
      </c>
      <c r="B125" t="s">
        <v>487</v>
      </c>
      <c r="C125">
        <v>141</v>
      </c>
      <c r="D125">
        <v>188</v>
      </c>
      <c r="E125">
        <v>172</v>
      </c>
      <c r="F125">
        <v>162</v>
      </c>
      <c r="G125">
        <v>144</v>
      </c>
      <c r="H125">
        <v>0</v>
      </c>
      <c r="I125">
        <v>807</v>
      </c>
      <c r="J125" s="41">
        <v>-368</v>
      </c>
    </row>
    <row r="126" spans="1:10" ht="15">
      <c r="A126" t="s">
        <v>48</v>
      </c>
      <c r="B126" t="s">
        <v>408</v>
      </c>
      <c r="C126">
        <v>147</v>
      </c>
      <c r="D126">
        <v>127</v>
      </c>
      <c r="E126">
        <v>134</v>
      </c>
      <c r="F126">
        <v>132</v>
      </c>
      <c r="G126">
        <v>130</v>
      </c>
      <c r="H126">
        <v>133</v>
      </c>
      <c r="I126">
        <v>803</v>
      </c>
      <c r="J126" s="41">
        <v>-372</v>
      </c>
    </row>
    <row r="127" spans="1:10" ht="15">
      <c r="A127" t="s">
        <v>479</v>
      </c>
      <c r="B127" t="s">
        <v>482</v>
      </c>
      <c r="C127">
        <v>156</v>
      </c>
      <c r="D127">
        <v>170</v>
      </c>
      <c r="E127">
        <v>180</v>
      </c>
      <c r="F127">
        <v>153</v>
      </c>
      <c r="G127">
        <v>140</v>
      </c>
      <c r="H127">
        <v>0</v>
      </c>
      <c r="I127">
        <v>799</v>
      </c>
      <c r="J127" s="41">
        <v>-376</v>
      </c>
    </row>
    <row r="128" spans="1:10" ht="15">
      <c r="A128" t="s">
        <v>230</v>
      </c>
      <c r="B128" t="s">
        <v>526</v>
      </c>
      <c r="C128">
        <v>106</v>
      </c>
      <c r="D128">
        <v>138</v>
      </c>
      <c r="E128">
        <v>129</v>
      </c>
      <c r="F128">
        <v>156</v>
      </c>
      <c r="G128">
        <v>128</v>
      </c>
      <c r="H128">
        <v>135</v>
      </c>
      <c r="I128">
        <v>792</v>
      </c>
      <c r="J128" s="41">
        <v>-383</v>
      </c>
    </row>
    <row r="129" spans="1:10" ht="15">
      <c r="A129" t="s">
        <v>493</v>
      </c>
      <c r="B129" t="s">
        <v>494</v>
      </c>
      <c r="C129">
        <v>161</v>
      </c>
      <c r="D129">
        <v>146</v>
      </c>
      <c r="E129">
        <v>178</v>
      </c>
      <c r="F129">
        <v>149</v>
      </c>
      <c r="G129">
        <v>157</v>
      </c>
      <c r="H129">
        <v>0</v>
      </c>
      <c r="I129">
        <v>791</v>
      </c>
      <c r="J129" s="41">
        <v>-384</v>
      </c>
    </row>
    <row r="130" spans="1:10" ht="15">
      <c r="A130" t="s">
        <v>48</v>
      </c>
      <c r="B130" t="s">
        <v>404</v>
      </c>
      <c r="C130">
        <v>157</v>
      </c>
      <c r="D130">
        <v>144</v>
      </c>
      <c r="E130">
        <v>187</v>
      </c>
      <c r="F130">
        <v>135</v>
      </c>
      <c r="G130">
        <v>161</v>
      </c>
      <c r="H130">
        <v>0</v>
      </c>
      <c r="I130">
        <v>784</v>
      </c>
      <c r="J130" s="41">
        <v>-391</v>
      </c>
    </row>
    <row r="131" spans="1:10" ht="15">
      <c r="A131" t="s">
        <v>316</v>
      </c>
      <c r="B131" t="s">
        <v>551</v>
      </c>
      <c r="C131">
        <v>191</v>
      </c>
      <c r="D131">
        <v>156</v>
      </c>
      <c r="E131">
        <v>153</v>
      </c>
      <c r="F131">
        <v>147</v>
      </c>
      <c r="G131">
        <v>132</v>
      </c>
      <c r="H131">
        <v>0</v>
      </c>
      <c r="I131">
        <v>779</v>
      </c>
      <c r="J131" s="41">
        <v>-396</v>
      </c>
    </row>
    <row r="132" spans="1:10" ht="15">
      <c r="A132" t="s">
        <v>486</v>
      </c>
      <c r="B132" t="s">
        <v>489</v>
      </c>
      <c r="C132">
        <v>161</v>
      </c>
      <c r="D132">
        <v>113</v>
      </c>
      <c r="E132">
        <v>0</v>
      </c>
      <c r="F132">
        <v>160</v>
      </c>
      <c r="G132">
        <v>186</v>
      </c>
      <c r="H132">
        <v>153</v>
      </c>
      <c r="I132">
        <v>773</v>
      </c>
      <c r="J132" s="41">
        <v>-402</v>
      </c>
    </row>
    <row r="133" spans="1:10" ht="15">
      <c r="A133" t="s">
        <v>398</v>
      </c>
      <c r="B133" t="s">
        <v>399</v>
      </c>
      <c r="C133">
        <v>110</v>
      </c>
      <c r="D133">
        <v>114</v>
      </c>
      <c r="E133">
        <v>137</v>
      </c>
      <c r="F133">
        <v>127</v>
      </c>
      <c r="G133">
        <v>176</v>
      </c>
      <c r="H133">
        <v>106</v>
      </c>
      <c r="I133">
        <v>770</v>
      </c>
      <c r="J133" s="41">
        <v>-405</v>
      </c>
    </row>
    <row r="134" spans="1:10" ht="15">
      <c r="A134" t="s">
        <v>358</v>
      </c>
      <c r="B134" t="s">
        <v>361</v>
      </c>
      <c r="C134">
        <v>0</v>
      </c>
      <c r="D134">
        <v>0</v>
      </c>
      <c r="E134">
        <v>190</v>
      </c>
      <c r="F134">
        <v>204</v>
      </c>
      <c r="G134">
        <v>189</v>
      </c>
      <c r="H134">
        <v>185</v>
      </c>
      <c r="I134">
        <v>768</v>
      </c>
      <c r="J134" s="41">
        <v>-407</v>
      </c>
    </row>
    <row r="135" spans="1:10" ht="15">
      <c r="A135" t="s">
        <v>162</v>
      </c>
      <c r="B135" t="s">
        <v>466</v>
      </c>
      <c r="C135">
        <v>166</v>
      </c>
      <c r="D135">
        <v>199</v>
      </c>
      <c r="E135">
        <v>173</v>
      </c>
      <c r="F135">
        <v>103</v>
      </c>
      <c r="G135">
        <v>126</v>
      </c>
      <c r="H135">
        <v>0</v>
      </c>
      <c r="I135">
        <v>767</v>
      </c>
      <c r="J135" s="41">
        <v>-408</v>
      </c>
    </row>
    <row r="136" spans="1:10" ht="15">
      <c r="A136" t="s">
        <v>372</v>
      </c>
      <c r="B136" t="s">
        <v>376</v>
      </c>
      <c r="C136">
        <v>111</v>
      </c>
      <c r="D136">
        <v>147</v>
      </c>
      <c r="E136">
        <v>130</v>
      </c>
      <c r="F136">
        <v>140</v>
      </c>
      <c r="G136">
        <v>117</v>
      </c>
      <c r="H136">
        <v>117</v>
      </c>
      <c r="I136">
        <v>762</v>
      </c>
      <c r="J136" s="41">
        <v>-413</v>
      </c>
    </row>
    <row r="137" spans="1:10" ht="15">
      <c r="A137" t="s">
        <v>353</v>
      </c>
      <c r="B137" t="s">
        <v>357</v>
      </c>
      <c r="C137">
        <v>113</v>
      </c>
      <c r="D137">
        <v>162</v>
      </c>
      <c r="E137">
        <v>115</v>
      </c>
      <c r="F137">
        <v>110</v>
      </c>
      <c r="G137">
        <v>110</v>
      </c>
      <c r="H137">
        <v>141</v>
      </c>
      <c r="I137">
        <v>751</v>
      </c>
      <c r="J137" s="41">
        <v>-424</v>
      </c>
    </row>
    <row r="138" spans="1:10" ht="15">
      <c r="A138" t="s">
        <v>433</v>
      </c>
      <c r="B138" t="s">
        <v>438</v>
      </c>
      <c r="C138">
        <v>136</v>
      </c>
      <c r="D138">
        <v>161</v>
      </c>
      <c r="E138">
        <v>149</v>
      </c>
      <c r="F138">
        <v>0</v>
      </c>
      <c r="G138">
        <v>120</v>
      </c>
      <c r="H138">
        <v>169</v>
      </c>
      <c r="I138">
        <v>735</v>
      </c>
      <c r="J138" s="41">
        <v>-440</v>
      </c>
    </row>
    <row r="139" spans="1:10" ht="15">
      <c r="A139" t="s">
        <v>365</v>
      </c>
      <c r="B139" t="s">
        <v>369</v>
      </c>
      <c r="C139">
        <v>112</v>
      </c>
      <c r="D139">
        <v>146</v>
      </c>
      <c r="E139">
        <v>121</v>
      </c>
      <c r="F139">
        <v>0</v>
      </c>
      <c r="G139">
        <v>190</v>
      </c>
      <c r="H139">
        <v>149</v>
      </c>
      <c r="I139">
        <v>718</v>
      </c>
      <c r="J139" s="41">
        <v>-457</v>
      </c>
    </row>
    <row r="140" spans="1:10" ht="15">
      <c r="A140" t="s">
        <v>340</v>
      </c>
      <c r="B140" t="s">
        <v>345</v>
      </c>
      <c r="C140">
        <v>0</v>
      </c>
      <c r="D140">
        <v>131</v>
      </c>
      <c r="E140">
        <v>140</v>
      </c>
      <c r="F140">
        <v>136</v>
      </c>
      <c r="G140">
        <v>169</v>
      </c>
      <c r="H140">
        <v>133</v>
      </c>
      <c r="I140">
        <v>709</v>
      </c>
      <c r="J140" s="41">
        <v>-466</v>
      </c>
    </row>
    <row r="141" spans="1:10" ht="15">
      <c r="A141" t="s">
        <v>532</v>
      </c>
      <c r="B141" t="s">
        <v>535</v>
      </c>
      <c r="C141">
        <v>156</v>
      </c>
      <c r="D141">
        <v>152</v>
      </c>
      <c r="E141">
        <v>0</v>
      </c>
      <c r="F141">
        <v>130</v>
      </c>
      <c r="G141">
        <v>125</v>
      </c>
      <c r="H141">
        <v>144</v>
      </c>
      <c r="I141">
        <v>707</v>
      </c>
      <c r="J141" s="41">
        <v>-468</v>
      </c>
    </row>
    <row r="142" spans="1:10" ht="15">
      <c r="A142" t="s">
        <v>358</v>
      </c>
      <c r="B142" t="s">
        <v>363</v>
      </c>
      <c r="C142">
        <v>162</v>
      </c>
      <c r="D142">
        <v>171</v>
      </c>
      <c r="E142">
        <v>0</v>
      </c>
      <c r="F142">
        <v>0</v>
      </c>
      <c r="G142">
        <v>212</v>
      </c>
      <c r="H142">
        <v>161</v>
      </c>
      <c r="I142">
        <v>706</v>
      </c>
      <c r="J142" s="41">
        <v>-469</v>
      </c>
    </row>
    <row r="143" spans="1:10" ht="15">
      <c r="A143" t="s">
        <v>631</v>
      </c>
      <c r="B143" t="s">
        <v>642</v>
      </c>
      <c r="C143">
        <v>120</v>
      </c>
      <c r="D143">
        <v>152</v>
      </c>
      <c r="E143">
        <v>130</v>
      </c>
      <c r="F143">
        <v>96</v>
      </c>
      <c r="G143">
        <v>117</v>
      </c>
      <c r="H143">
        <v>89</v>
      </c>
      <c r="I143">
        <v>704</v>
      </c>
      <c r="J143" s="41">
        <v>-471</v>
      </c>
    </row>
    <row r="144" spans="1:10" ht="15">
      <c r="A144" t="s">
        <v>332</v>
      </c>
      <c r="B144" t="s">
        <v>333</v>
      </c>
      <c r="C144">
        <v>128</v>
      </c>
      <c r="D144">
        <v>153</v>
      </c>
      <c r="E144">
        <v>163</v>
      </c>
      <c r="F144">
        <v>132</v>
      </c>
      <c r="G144">
        <v>122</v>
      </c>
      <c r="H144">
        <v>0</v>
      </c>
      <c r="I144">
        <v>698</v>
      </c>
      <c r="J144" s="41">
        <v>-477</v>
      </c>
    </row>
    <row r="145" spans="1:10" ht="15">
      <c r="A145" t="s">
        <v>472</v>
      </c>
      <c r="B145" t="s">
        <v>476</v>
      </c>
      <c r="C145">
        <v>179</v>
      </c>
      <c r="D145">
        <v>180</v>
      </c>
      <c r="E145">
        <v>0</v>
      </c>
      <c r="F145">
        <v>170</v>
      </c>
      <c r="G145">
        <v>164</v>
      </c>
      <c r="H145">
        <v>0</v>
      </c>
      <c r="I145">
        <v>693</v>
      </c>
      <c r="J145" s="41">
        <v>-482</v>
      </c>
    </row>
    <row r="146" spans="1:10" ht="15">
      <c r="A146" t="s">
        <v>162</v>
      </c>
      <c r="B146" t="s">
        <v>469</v>
      </c>
      <c r="C146">
        <v>146</v>
      </c>
      <c r="D146">
        <v>131</v>
      </c>
      <c r="E146">
        <v>146</v>
      </c>
      <c r="F146">
        <v>131</v>
      </c>
      <c r="G146">
        <v>0</v>
      </c>
      <c r="H146">
        <v>134</v>
      </c>
      <c r="I146">
        <v>688</v>
      </c>
      <c r="J146" s="41">
        <v>-487</v>
      </c>
    </row>
    <row r="147" spans="1:10" ht="15">
      <c r="A147" t="s">
        <v>472</v>
      </c>
      <c r="B147" t="s">
        <v>478</v>
      </c>
      <c r="C147">
        <v>166</v>
      </c>
      <c r="D147">
        <v>0</v>
      </c>
      <c r="E147">
        <v>160</v>
      </c>
      <c r="F147">
        <v>0</v>
      </c>
      <c r="G147">
        <v>198</v>
      </c>
      <c r="H147">
        <v>151</v>
      </c>
      <c r="I147">
        <v>675</v>
      </c>
      <c r="J147" s="41">
        <v>-500</v>
      </c>
    </row>
    <row r="148" spans="1:10" ht="15">
      <c r="A148" t="s">
        <v>379</v>
      </c>
      <c r="B148" t="s">
        <v>584</v>
      </c>
      <c r="C148">
        <v>137</v>
      </c>
      <c r="D148">
        <v>0</v>
      </c>
      <c r="E148">
        <v>0</v>
      </c>
      <c r="F148">
        <v>175</v>
      </c>
      <c r="G148">
        <v>165</v>
      </c>
      <c r="H148">
        <v>192</v>
      </c>
      <c r="I148">
        <v>669</v>
      </c>
      <c r="J148" s="41">
        <v>-506</v>
      </c>
    </row>
    <row r="149" spans="1:10" ht="15">
      <c r="A149" t="s">
        <v>412</v>
      </c>
      <c r="B149" t="s">
        <v>415</v>
      </c>
      <c r="C149">
        <v>129</v>
      </c>
      <c r="D149">
        <v>148</v>
      </c>
      <c r="E149">
        <v>124</v>
      </c>
      <c r="F149">
        <v>168</v>
      </c>
      <c r="G149">
        <v>95</v>
      </c>
      <c r="H149">
        <v>0</v>
      </c>
      <c r="I149">
        <v>664</v>
      </c>
      <c r="J149" s="41">
        <v>-511</v>
      </c>
    </row>
    <row r="150" spans="1:10" ht="15">
      <c r="A150" t="s">
        <v>96</v>
      </c>
      <c r="B150" t="s">
        <v>441</v>
      </c>
      <c r="C150">
        <v>141</v>
      </c>
      <c r="D150">
        <v>144</v>
      </c>
      <c r="E150">
        <v>119</v>
      </c>
      <c r="F150">
        <v>143</v>
      </c>
      <c r="G150">
        <v>113</v>
      </c>
      <c r="H150">
        <v>0</v>
      </c>
      <c r="I150">
        <v>660</v>
      </c>
      <c r="J150" s="41">
        <v>-515</v>
      </c>
    </row>
    <row r="151" spans="1:10" ht="15">
      <c r="A151" t="s">
        <v>479</v>
      </c>
      <c r="B151" t="s">
        <v>574</v>
      </c>
      <c r="C151">
        <v>185</v>
      </c>
      <c r="D151">
        <v>149</v>
      </c>
      <c r="E151">
        <v>145</v>
      </c>
      <c r="F151">
        <v>0</v>
      </c>
      <c r="G151">
        <v>0</v>
      </c>
      <c r="H151">
        <v>174</v>
      </c>
      <c r="I151">
        <v>653</v>
      </c>
      <c r="J151" s="41">
        <v>-522</v>
      </c>
    </row>
    <row r="152" spans="1:10" ht="15">
      <c r="A152" t="s">
        <v>379</v>
      </c>
      <c r="B152" t="s">
        <v>381</v>
      </c>
      <c r="C152">
        <v>153</v>
      </c>
      <c r="D152">
        <v>192</v>
      </c>
      <c r="E152">
        <v>164</v>
      </c>
      <c r="F152">
        <v>140</v>
      </c>
      <c r="G152">
        <v>0</v>
      </c>
      <c r="H152">
        <v>0</v>
      </c>
      <c r="I152">
        <v>649</v>
      </c>
      <c r="J152" s="41">
        <v>-526</v>
      </c>
    </row>
    <row r="153" spans="1:10" ht="15">
      <c r="A153" t="s">
        <v>358</v>
      </c>
      <c r="B153" t="s">
        <v>362</v>
      </c>
      <c r="C153">
        <v>158</v>
      </c>
      <c r="D153">
        <v>177</v>
      </c>
      <c r="E153">
        <v>164</v>
      </c>
      <c r="F153">
        <v>144</v>
      </c>
      <c r="G153">
        <v>0</v>
      </c>
      <c r="H153">
        <v>0</v>
      </c>
      <c r="I153">
        <v>643</v>
      </c>
      <c r="J153" s="41">
        <v>-532</v>
      </c>
    </row>
    <row r="154" spans="1:10" ht="15">
      <c r="A154" t="s">
        <v>398</v>
      </c>
      <c r="B154" t="s">
        <v>403</v>
      </c>
      <c r="C154">
        <v>99</v>
      </c>
      <c r="D154">
        <v>97</v>
      </c>
      <c r="E154">
        <v>115</v>
      </c>
      <c r="F154">
        <v>93</v>
      </c>
      <c r="G154">
        <v>128</v>
      </c>
      <c r="H154">
        <v>106</v>
      </c>
      <c r="I154">
        <v>638</v>
      </c>
      <c r="J154" s="41">
        <v>-537</v>
      </c>
    </row>
    <row r="155" spans="1:10" ht="15">
      <c r="A155" t="s">
        <v>48</v>
      </c>
      <c r="B155" t="s">
        <v>410</v>
      </c>
      <c r="C155">
        <v>0</v>
      </c>
      <c r="D155">
        <v>151</v>
      </c>
      <c r="E155">
        <v>102</v>
      </c>
      <c r="F155">
        <v>100</v>
      </c>
      <c r="G155">
        <v>134</v>
      </c>
      <c r="H155">
        <v>147</v>
      </c>
      <c r="I155">
        <v>634</v>
      </c>
      <c r="J155" s="41">
        <v>-541</v>
      </c>
    </row>
    <row r="156" spans="1:10" ht="15">
      <c r="A156" t="s">
        <v>479</v>
      </c>
      <c r="B156" t="s">
        <v>485</v>
      </c>
      <c r="C156">
        <v>121</v>
      </c>
      <c r="D156">
        <v>0</v>
      </c>
      <c r="E156">
        <v>0</v>
      </c>
      <c r="F156">
        <v>149</v>
      </c>
      <c r="G156">
        <v>172</v>
      </c>
      <c r="H156">
        <v>188</v>
      </c>
      <c r="I156">
        <v>630</v>
      </c>
      <c r="J156" s="41">
        <v>-545</v>
      </c>
    </row>
    <row r="157" spans="1:10" ht="15">
      <c r="A157" t="s">
        <v>486</v>
      </c>
      <c r="B157" t="s">
        <v>488</v>
      </c>
      <c r="C157">
        <v>0</v>
      </c>
      <c r="D157">
        <v>0</v>
      </c>
      <c r="E157">
        <v>127</v>
      </c>
      <c r="F157">
        <v>169</v>
      </c>
      <c r="G157">
        <v>172</v>
      </c>
      <c r="H157">
        <v>155</v>
      </c>
      <c r="I157">
        <v>623</v>
      </c>
      <c r="J157" s="41">
        <v>-552</v>
      </c>
    </row>
    <row r="158" spans="1:10" ht="15">
      <c r="A158" t="s">
        <v>221</v>
      </c>
      <c r="B158" t="s">
        <v>524</v>
      </c>
      <c r="C158">
        <v>177</v>
      </c>
      <c r="D158">
        <v>170</v>
      </c>
      <c r="E158">
        <v>147</v>
      </c>
      <c r="F158">
        <v>0</v>
      </c>
      <c r="G158">
        <v>0</v>
      </c>
      <c r="H158">
        <v>129</v>
      </c>
      <c r="I158">
        <v>623</v>
      </c>
      <c r="J158" s="41">
        <v>-552</v>
      </c>
    </row>
    <row r="159" spans="1:10" ht="15">
      <c r="A159" t="s">
        <v>486</v>
      </c>
      <c r="B159" t="s">
        <v>492</v>
      </c>
      <c r="C159">
        <v>134</v>
      </c>
      <c r="D159">
        <v>178</v>
      </c>
      <c r="E159">
        <v>159</v>
      </c>
      <c r="F159">
        <v>136</v>
      </c>
      <c r="G159">
        <v>0</v>
      </c>
      <c r="I159">
        <v>607</v>
      </c>
      <c r="J159" s="41">
        <v>-568</v>
      </c>
    </row>
    <row r="160" spans="1:10" ht="15">
      <c r="A160" t="s">
        <v>486</v>
      </c>
      <c r="B160" t="s">
        <v>490</v>
      </c>
      <c r="C160">
        <v>139</v>
      </c>
      <c r="D160">
        <v>139</v>
      </c>
      <c r="E160">
        <v>0</v>
      </c>
      <c r="F160">
        <v>0</v>
      </c>
      <c r="G160">
        <v>157</v>
      </c>
      <c r="H160">
        <v>169</v>
      </c>
      <c r="I160">
        <v>604</v>
      </c>
      <c r="J160" s="41">
        <v>-571</v>
      </c>
    </row>
    <row r="161" spans="1:10" ht="15">
      <c r="A161" t="s">
        <v>493</v>
      </c>
      <c r="B161" t="s">
        <v>499</v>
      </c>
      <c r="C161">
        <v>164</v>
      </c>
      <c r="D161">
        <v>162</v>
      </c>
      <c r="E161">
        <v>119</v>
      </c>
      <c r="F161">
        <v>0</v>
      </c>
      <c r="G161">
        <v>0</v>
      </c>
      <c r="H161">
        <v>158</v>
      </c>
      <c r="I161">
        <v>603</v>
      </c>
      <c r="J161" s="41">
        <v>-572</v>
      </c>
    </row>
    <row r="162" spans="1:10" ht="15">
      <c r="A162" t="s">
        <v>650</v>
      </c>
      <c r="B162" t="s">
        <v>546</v>
      </c>
      <c r="C162">
        <v>0</v>
      </c>
      <c r="D162">
        <v>0</v>
      </c>
      <c r="E162">
        <v>138</v>
      </c>
      <c r="F162">
        <v>164</v>
      </c>
      <c r="G162">
        <v>146</v>
      </c>
      <c r="H162">
        <v>149</v>
      </c>
      <c r="I162">
        <v>597</v>
      </c>
      <c r="J162" s="41">
        <v>-578</v>
      </c>
    </row>
    <row r="163" spans="1:10" ht="15">
      <c r="A163" t="s">
        <v>433</v>
      </c>
      <c r="B163" t="s">
        <v>434</v>
      </c>
      <c r="C163">
        <v>171</v>
      </c>
      <c r="D163">
        <v>143</v>
      </c>
      <c r="E163">
        <v>0</v>
      </c>
      <c r="F163">
        <v>114</v>
      </c>
      <c r="G163">
        <v>0</v>
      </c>
      <c r="H163">
        <v>166</v>
      </c>
      <c r="I163">
        <v>594</v>
      </c>
      <c r="J163" s="41">
        <v>-581</v>
      </c>
    </row>
    <row r="164" spans="1:10" ht="15">
      <c r="A164" t="s">
        <v>162</v>
      </c>
      <c r="B164" t="s">
        <v>468</v>
      </c>
      <c r="C164">
        <v>105</v>
      </c>
      <c r="D164">
        <v>0</v>
      </c>
      <c r="E164">
        <v>0</v>
      </c>
      <c r="F164">
        <v>169</v>
      </c>
      <c r="G164">
        <v>132</v>
      </c>
      <c r="H164">
        <v>169</v>
      </c>
      <c r="I164">
        <v>575</v>
      </c>
      <c r="J164" s="41">
        <v>-600</v>
      </c>
    </row>
    <row r="165" spans="1:10" ht="15">
      <c r="A165" t="s">
        <v>631</v>
      </c>
      <c r="B165" t="s">
        <v>643</v>
      </c>
      <c r="C165">
        <v>102</v>
      </c>
      <c r="D165">
        <v>103</v>
      </c>
      <c r="E165">
        <v>107</v>
      </c>
      <c r="F165">
        <v>86</v>
      </c>
      <c r="G165">
        <v>90</v>
      </c>
      <c r="H165">
        <v>86</v>
      </c>
      <c r="I165">
        <v>574</v>
      </c>
      <c r="J165" s="41">
        <v>-601</v>
      </c>
    </row>
    <row r="166" spans="1:10" ht="15">
      <c r="A166" t="s">
        <v>433</v>
      </c>
      <c r="B166" t="s">
        <v>435</v>
      </c>
      <c r="C166">
        <v>130</v>
      </c>
      <c r="D166">
        <v>0</v>
      </c>
      <c r="E166">
        <v>164</v>
      </c>
      <c r="F166">
        <v>155</v>
      </c>
      <c r="G166">
        <v>114</v>
      </c>
      <c r="H166">
        <v>0</v>
      </c>
      <c r="I166">
        <v>563</v>
      </c>
      <c r="J166" s="41">
        <v>-612</v>
      </c>
    </row>
    <row r="167" spans="1:10" ht="15">
      <c r="A167" t="s">
        <v>332</v>
      </c>
      <c r="B167" t="s">
        <v>335</v>
      </c>
      <c r="C167">
        <v>153</v>
      </c>
      <c r="D167">
        <v>129</v>
      </c>
      <c r="E167">
        <v>0</v>
      </c>
      <c r="F167">
        <v>0</v>
      </c>
      <c r="G167">
        <v>134</v>
      </c>
      <c r="H167">
        <v>145</v>
      </c>
      <c r="I167">
        <v>561</v>
      </c>
      <c r="J167" s="41">
        <v>-614</v>
      </c>
    </row>
    <row r="168" spans="1:10" ht="15">
      <c r="A168" t="s">
        <v>433</v>
      </c>
      <c r="B168" t="s">
        <v>437</v>
      </c>
      <c r="C168">
        <v>0</v>
      </c>
      <c r="D168">
        <v>99</v>
      </c>
      <c r="E168">
        <v>0</v>
      </c>
      <c r="F168">
        <v>164</v>
      </c>
      <c r="G168">
        <v>143</v>
      </c>
      <c r="H168">
        <v>140</v>
      </c>
      <c r="I168">
        <v>546</v>
      </c>
      <c r="J168" s="41">
        <v>-629</v>
      </c>
    </row>
    <row r="169" spans="1:10" ht="15">
      <c r="A169" t="s">
        <v>433</v>
      </c>
      <c r="B169" t="s">
        <v>440</v>
      </c>
      <c r="C169">
        <v>107</v>
      </c>
      <c r="D169">
        <v>0</v>
      </c>
      <c r="E169">
        <v>152</v>
      </c>
      <c r="F169">
        <v>139</v>
      </c>
      <c r="G169">
        <v>0</v>
      </c>
      <c r="H169">
        <v>147</v>
      </c>
      <c r="I169">
        <v>545</v>
      </c>
      <c r="J169" s="41">
        <v>-630</v>
      </c>
    </row>
    <row r="170" spans="1:10" ht="15">
      <c r="A170" t="s">
        <v>412</v>
      </c>
      <c r="B170" t="s">
        <v>416</v>
      </c>
      <c r="C170">
        <v>171</v>
      </c>
      <c r="D170">
        <v>124</v>
      </c>
      <c r="E170">
        <v>121</v>
      </c>
      <c r="F170">
        <v>120</v>
      </c>
      <c r="G170">
        <v>0</v>
      </c>
      <c r="H170">
        <v>0</v>
      </c>
      <c r="I170">
        <v>536</v>
      </c>
      <c r="J170" s="41">
        <v>-639</v>
      </c>
    </row>
    <row r="171" spans="1:10" ht="15">
      <c r="A171" t="s">
        <v>96</v>
      </c>
      <c r="B171" t="s">
        <v>443</v>
      </c>
      <c r="C171">
        <v>133</v>
      </c>
      <c r="D171">
        <v>0</v>
      </c>
      <c r="E171">
        <v>142</v>
      </c>
      <c r="F171">
        <v>121</v>
      </c>
      <c r="G171">
        <v>0</v>
      </c>
      <c r="H171">
        <v>140</v>
      </c>
      <c r="I171">
        <v>536</v>
      </c>
      <c r="J171" s="41">
        <v>-639</v>
      </c>
    </row>
    <row r="172" spans="1:10" ht="15">
      <c r="A172" t="s">
        <v>162</v>
      </c>
      <c r="B172" t="s">
        <v>467</v>
      </c>
      <c r="C172">
        <v>0</v>
      </c>
      <c r="D172">
        <v>129</v>
      </c>
      <c r="E172">
        <v>133</v>
      </c>
      <c r="F172">
        <v>0</v>
      </c>
      <c r="G172">
        <v>139</v>
      </c>
      <c r="H172">
        <v>134</v>
      </c>
      <c r="I172">
        <v>535</v>
      </c>
      <c r="J172" s="41">
        <v>-640</v>
      </c>
    </row>
    <row r="173" spans="1:10" ht="15">
      <c r="A173" t="s">
        <v>479</v>
      </c>
      <c r="B173" t="s">
        <v>573</v>
      </c>
      <c r="C173">
        <v>0</v>
      </c>
      <c r="D173">
        <v>0</v>
      </c>
      <c r="E173">
        <v>0</v>
      </c>
      <c r="F173">
        <v>161</v>
      </c>
      <c r="G173">
        <v>210</v>
      </c>
      <c r="H173">
        <v>158</v>
      </c>
      <c r="I173">
        <v>529</v>
      </c>
      <c r="J173" s="41">
        <v>-646</v>
      </c>
    </row>
    <row r="174" spans="1:10" ht="15">
      <c r="A174" t="s">
        <v>651</v>
      </c>
      <c r="B174" t="s">
        <v>508</v>
      </c>
      <c r="C174">
        <v>0</v>
      </c>
      <c r="D174">
        <v>176</v>
      </c>
      <c r="E174">
        <v>201</v>
      </c>
      <c r="F174">
        <v>134</v>
      </c>
      <c r="G174">
        <v>0</v>
      </c>
      <c r="H174">
        <v>0</v>
      </c>
      <c r="I174">
        <v>511</v>
      </c>
      <c r="J174" s="41">
        <v>-664</v>
      </c>
    </row>
    <row r="175" spans="1:10" ht="15">
      <c r="A175" t="s">
        <v>651</v>
      </c>
      <c r="B175" t="s">
        <v>513</v>
      </c>
      <c r="C175">
        <v>145</v>
      </c>
      <c r="D175">
        <v>0</v>
      </c>
      <c r="E175">
        <v>0</v>
      </c>
      <c r="F175">
        <v>0</v>
      </c>
      <c r="G175">
        <v>180</v>
      </c>
      <c r="H175">
        <v>175</v>
      </c>
      <c r="I175">
        <v>500</v>
      </c>
      <c r="J175" s="41">
        <v>-675</v>
      </c>
    </row>
    <row r="176" spans="1:10" ht="15">
      <c r="A176" t="s">
        <v>221</v>
      </c>
      <c r="B176" t="s">
        <v>523</v>
      </c>
      <c r="C176">
        <v>0</v>
      </c>
      <c r="D176">
        <v>0</v>
      </c>
      <c r="E176">
        <v>0</v>
      </c>
      <c r="F176">
        <v>167</v>
      </c>
      <c r="G176">
        <v>189</v>
      </c>
      <c r="H176">
        <v>142</v>
      </c>
      <c r="I176">
        <v>498</v>
      </c>
      <c r="J176" s="41">
        <v>-677</v>
      </c>
    </row>
    <row r="177" spans="1:10" ht="15">
      <c r="A177" t="s">
        <v>412</v>
      </c>
      <c r="B177" t="s">
        <v>417</v>
      </c>
      <c r="C177">
        <v>115</v>
      </c>
      <c r="D177">
        <v>133</v>
      </c>
      <c r="E177">
        <v>0</v>
      </c>
      <c r="F177">
        <v>0</v>
      </c>
      <c r="G177">
        <v>146</v>
      </c>
      <c r="H177">
        <v>101</v>
      </c>
      <c r="I177">
        <v>495</v>
      </c>
      <c r="J177" s="41">
        <v>-680</v>
      </c>
    </row>
    <row r="178" spans="1:10" ht="15">
      <c r="A178" t="s">
        <v>532</v>
      </c>
      <c r="B178" t="s">
        <v>533</v>
      </c>
      <c r="C178">
        <v>197</v>
      </c>
      <c r="D178">
        <v>170</v>
      </c>
      <c r="E178">
        <v>128</v>
      </c>
      <c r="F178">
        <v>0</v>
      </c>
      <c r="G178">
        <v>0</v>
      </c>
      <c r="H178">
        <v>0</v>
      </c>
      <c r="I178">
        <v>495</v>
      </c>
      <c r="J178" s="41">
        <v>-680</v>
      </c>
    </row>
    <row r="179" spans="1:10" ht="15">
      <c r="A179" t="s">
        <v>126</v>
      </c>
      <c r="B179" t="s">
        <v>654</v>
      </c>
      <c r="C179">
        <v>126</v>
      </c>
      <c r="D179">
        <v>0</v>
      </c>
      <c r="E179">
        <v>153</v>
      </c>
      <c r="F179">
        <v>125</v>
      </c>
      <c r="G179">
        <v>90</v>
      </c>
      <c r="H179">
        <v>0</v>
      </c>
      <c r="I179">
        <v>494</v>
      </c>
      <c r="J179" s="41">
        <v>-681</v>
      </c>
    </row>
    <row r="180" spans="1:10" ht="15">
      <c r="A180" t="s">
        <v>532</v>
      </c>
      <c r="B180" t="s">
        <v>538</v>
      </c>
      <c r="C180">
        <v>0</v>
      </c>
      <c r="D180">
        <v>0</v>
      </c>
      <c r="E180">
        <v>114</v>
      </c>
      <c r="F180">
        <v>95</v>
      </c>
      <c r="G180">
        <v>152</v>
      </c>
      <c r="H180">
        <v>123</v>
      </c>
      <c r="I180">
        <v>484</v>
      </c>
      <c r="J180" s="41">
        <v>-691</v>
      </c>
    </row>
    <row r="181" spans="1:10" ht="15">
      <c r="A181" t="s">
        <v>221</v>
      </c>
      <c r="B181" t="s">
        <v>520</v>
      </c>
      <c r="C181">
        <v>0</v>
      </c>
      <c r="D181">
        <v>0</v>
      </c>
      <c r="E181">
        <v>157</v>
      </c>
      <c r="F181">
        <v>158</v>
      </c>
      <c r="G181">
        <v>165</v>
      </c>
      <c r="H181">
        <v>0</v>
      </c>
      <c r="I181">
        <v>480</v>
      </c>
      <c r="J181" s="41">
        <v>-695</v>
      </c>
    </row>
    <row r="182" spans="1:10" ht="15">
      <c r="A182" t="s">
        <v>372</v>
      </c>
      <c r="B182" t="s">
        <v>378</v>
      </c>
      <c r="C182">
        <v>114</v>
      </c>
      <c r="D182">
        <v>158</v>
      </c>
      <c r="E182">
        <v>93</v>
      </c>
      <c r="F182">
        <v>0</v>
      </c>
      <c r="G182">
        <v>0</v>
      </c>
      <c r="H182">
        <v>99</v>
      </c>
      <c r="I182">
        <v>464</v>
      </c>
      <c r="J182" s="41">
        <v>-711</v>
      </c>
    </row>
    <row r="183" spans="1:10" ht="15">
      <c r="A183" t="s">
        <v>153</v>
      </c>
      <c r="B183" t="s">
        <v>464</v>
      </c>
      <c r="C183">
        <v>0</v>
      </c>
      <c r="D183">
        <v>0</v>
      </c>
      <c r="E183">
        <v>144</v>
      </c>
      <c r="F183">
        <v>120</v>
      </c>
      <c r="G183">
        <v>195</v>
      </c>
      <c r="H183">
        <v>0</v>
      </c>
      <c r="I183">
        <v>459</v>
      </c>
      <c r="J183" s="41">
        <v>-716</v>
      </c>
    </row>
    <row r="184" spans="1:10" ht="15">
      <c r="A184" t="s">
        <v>316</v>
      </c>
      <c r="B184" t="s">
        <v>556</v>
      </c>
      <c r="C184">
        <v>0</v>
      </c>
      <c r="D184">
        <v>0</v>
      </c>
      <c r="E184">
        <v>148</v>
      </c>
      <c r="F184">
        <v>163</v>
      </c>
      <c r="G184">
        <v>146</v>
      </c>
      <c r="H184">
        <v>0</v>
      </c>
      <c r="I184">
        <v>457</v>
      </c>
      <c r="J184" s="41">
        <v>-718</v>
      </c>
    </row>
    <row r="185" spans="1:10" ht="15">
      <c r="A185" t="s">
        <v>385</v>
      </c>
      <c r="B185" t="s">
        <v>388</v>
      </c>
      <c r="C185">
        <v>0</v>
      </c>
      <c r="D185">
        <v>0</v>
      </c>
      <c r="E185">
        <v>149</v>
      </c>
      <c r="F185">
        <v>148</v>
      </c>
      <c r="G185">
        <v>0</v>
      </c>
      <c r="H185">
        <v>156</v>
      </c>
      <c r="I185">
        <v>453</v>
      </c>
      <c r="J185" s="41">
        <v>-722</v>
      </c>
    </row>
    <row r="186" spans="1:10" ht="15">
      <c r="A186" t="s">
        <v>221</v>
      </c>
      <c r="B186" t="s">
        <v>521</v>
      </c>
      <c r="C186">
        <v>0</v>
      </c>
      <c r="D186">
        <v>154</v>
      </c>
      <c r="E186">
        <v>163</v>
      </c>
      <c r="F186">
        <v>136</v>
      </c>
      <c r="G186">
        <v>0</v>
      </c>
      <c r="H186">
        <v>0</v>
      </c>
      <c r="I186">
        <v>453</v>
      </c>
      <c r="J186" s="41">
        <v>-722</v>
      </c>
    </row>
    <row r="187" spans="1:10" ht="15">
      <c r="A187" t="s">
        <v>221</v>
      </c>
      <c r="B187" t="s">
        <v>636</v>
      </c>
      <c r="C187">
        <v>116</v>
      </c>
      <c r="D187">
        <v>111</v>
      </c>
      <c r="E187">
        <v>0</v>
      </c>
      <c r="F187">
        <v>0</v>
      </c>
      <c r="G187">
        <v>0</v>
      </c>
      <c r="H187">
        <v>225</v>
      </c>
      <c r="I187">
        <v>452</v>
      </c>
      <c r="J187" s="41">
        <v>-723</v>
      </c>
    </row>
    <row r="188" spans="1:10" ht="15">
      <c r="A188" t="s">
        <v>340</v>
      </c>
      <c r="B188" t="s">
        <v>346</v>
      </c>
      <c r="C188">
        <v>193</v>
      </c>
      <c r="D188">
        <v>139</v>
      </c>
      <c r="E188">
        <v>117</v>
      </c>
      <c r="F188">
        <v>0</v>
      </c>
      <c r="G188">
        <v>0</v>
      </c>
      <c r="H188">
        <v>0</v>
      </c>
      <c r="I188">
        <v>449</v>
      </c>
      <c r="J188" s="41">
        <v>-726</v>
      </c>
    </row>
    <row r="189" spans="1:10" ht="15">
      <c r="A189" t="s">
        <v>153</v>
      </c>
      <c r="B189" t="s">
        <v>460</v>
      </c>
      <c r="C189">
        <v>112</v>
      </c>
      <c r="D189">
        <v>116</v>
      </c>
      <c r="E189">
        <v>0</v>
      </c>
      <c r="F189">
        <v>0</v>
      </c>
      <c r="G189">
        <v>0</v>
      </c>
      <c r="H189">
        <v>213</v>
      </c>
      <c r="I189">
        <v>441</v>
      </c>
      <c r="J189" s="41">
        <v>-734</v>
      </c>
    </row>
    <row r="190" spans="1:10" ht="15">
      <c r="A190" t="s">
        <v>650</v>
      </c>
      <c r="B190" t="s">
        <v>549</v>
      </c>
      <c r="C190">
        <v>129</v>
      </c>
      <c r="D190">
        <v>170</v>
      </c>
      <c r="E190">
        <v>124</v>
      </c>
      <c r="F190">
        <v>0</v>
      </c>
      <c r="G190">
        <v>0</v>
      </c>
      <c r="H190">
        <v>0</v>
      </c>
      <c r="I190">
        <v>423</v>
      </c>
      <c r="J190" s="41">
        <v>-752</v>
      </c>
    </row>
    <row r="191" spans="1:10" ht="15">
      <c r="A191" t="s">
        <v>650</v>
      </c>
      <c r="B191" t="s">
        <v>550</v>
      </c>
      <c r="C191">
        <v>148</v>
      </c>
      <c r="D191">
        <v>139</v>
      </c>
      <c r="E191">
        <v>0</v>
      </c>
      <c r="F191">
        <v>0</v>
      </c>
      <c r="G191">
        <v>0</v>
      </c>
      <c r="H191">
        <v>134</v>
      </c>
      <c r="I191">
        <v>421</v>
      </c>
      <c r="J191" s="41">
        <v>-754</v>
      </c>
    </row>
    <row r="192" spans="1:10" ht="15">
      <c r="A192" t="s">
        <v>340</v>
      </c>
      <c r="B192" t="s">
        <v>632</v>
      </c>
      <c r="C192">
        <v>0</v>
      </c>
      <c r="D192">
        <v>0</v>
      </c>
      <c r="E192">
        <v>0</v>
      </c>
      <c r="F192">
        <v>135</v>
      </c>
      <c r="G192">
        <v>159</v>
      </c>
      <c r="H192">
        <v>125</v>
      </c>
      <c r="I192">
        <v>419</v>
      </c>
      <c r="J192" s="41">
        <v>-756</v>
      </c>
    </row>
    <row r="193" spans="1:10" ht="15">
      <c r="A193" t="s">
        <v>650</v>
      </c>
      <c r="B193" t="s">
        <v>547</v>
      </c>
      <c r="C193">
        <v>138</v>
      </c>
      <c r="D193">
        <v>113</v>
      </c>
      <c r="E193">
        <v>163</v>
      </c>
      <c r="F193">
        <v>0</v>
      </c>
      <c r="G193">
        <v>0</v>
      </c>
      <c r="H193">
        <v>0</v>
      </c>
      <c r="I193">
        <v>414</v>
      </c>
      <c r="J193" s="41">
        <v>-761</v>
      </c>
    </row>
    <row r="194" spans="1:10" ht="15">
      <c r="A194" t="s">
        <v>650</v>
      </c>
      <c r="B194" t="s">
        <v>548</v>
      </c>
      <c r="C194">
        <v>0</v>
      </c>
      <c r="D194">
        <v>0</v>
      </c>
      <c r="E194">
        <v>0</v>
      </c>
      <c r="F194">
        <v>134</v>
      </c>
      <c r="G194">
        <v>158</v>
      </c>
      <c r="H194">
        <v>112</v>
      </c>
      <c r="I194">
        <v>404</v>
      </c>
      <c r="J194" s="41">
        <v>-771</v>
      </c>
    </row>
    <row r="195" spans="1:10" ht="15">
      <c r="A195" t="s">
        <v>316</v>
      </c>
      <c r="B195" t="s">
        <v>553</v>
      </c>
      <c r="C195">
        <v>119</v>
      </c>
      <c r="D195">
        <v>102</v>
      </c>
      <c r="E195">
        <v>0</v>
      </c>
      <c r="F195">
        <v>0</v>
      </c>
      <c r="G195">
        <v>0</v>
      </c>
      <c r="H195">
        <v>171</v>
      </c>
      <c r="I195">
        <v>392</v>
      </c>
      <c r="J195" s="41">
        <v>-783</v>
      </c>
    </row>
    <row r="196" spans="1:10" ht="15">
      <c r="A196" t="s">
        <v>126</v>
      </c>
      <c r="B196" t="s">
        <v>450</v>
      </c>
      <c r="C196">
        <v>0</v>
      </c>
      <c r="D196">
        <v>129</v>
      </c>
      <c r="E196">
        <v>141</v>
      </c>
      <c r="F196">
        <v>0</v>
      </c>
      <c r="G196">
        <v>112</v>
      </c>
      <c r="H196">
        <v>0</v>
      </c>
      <c r="I196">
        <v>382</v>
      </c>
      <c r="J196" s="41">
        <v>-793</v>
      </c>
    </row>
    <row r="197" spans="1:10" ht="15">
      <c r="A197" t="s">
        <v>96</v>
      </c>
      <c r="B197" t="s">
        <v>445</v>
      </c>
      <c r="C197">
        <v>0</v>
      </c>
      <c r="D197">
        <v>124</v>
      </c>
      <c r="E197">
        <v>0</v>
      </c>
      <c r="F197">
        <v>0</v>
      </c>
      <c r="G197">
        <v>129</v>
      </c>
      <c r="H197">
        <v>124</v>
      </c>
      <c r="I197">
        <v>377</v>
      </c>
      <c r="J197" s="41">
        <v>-798</v>
      </c>
    </row>
    <row r="198" spans="1:10" ht="15">
      <c r="A198" t="s">
        <v>412</v>
      </c>
      <c r="B198" t="s">
        <v>418</v>
      </c>
      <c r="C198">
        <v>0</v>
      </c>
      <c r="D198">
        <v>0</v>
      </c>
      <c r="E198">
        <v>118</v>
      </c>
      <c r="F198">
        <v>131</v>
      </c>
      <c r="G198">
        <v>0</v>
      </c>
      <c r="H198">
        <v>119</v>
      </c>
      <c r="I198">
        <v>368</v>
      </c>
      <c r="J198" s="41">
        <v>-807</v>
      </c>
    </row>
    <row r="199" spans="1:10" ht="15">
      <c r="A199" t="s">
        <v>433</v>
      </c>
      <c r="B199" t="s">
        <v>634</v>
      </c>
      <c r="C199">
        <v>0</v>
      </c>
      <c r="D199">
        <v>145</v>
      </c>
      <c r="E199">
        <v>107</v>
      </c>
      <c r="F199">
        <v>0</v>
      </c>
      <c r="G199">
        <v>107</v>
      </c>
      <c r="H199">
        <v>0</v>
      </c>
      <c r="I199">
        <v>359</v>
      </c>
      <c r="J199" s="41">
        <v>-816</v>
      </c>
    </row>
    <row r="200" spans="1:10" ht="15">
      <c r="A200" t="s">
        <v>472</v>
      </c>
      <c r="B200" t="s">
        <v>477</v>
      </c>
      <c r="C200">
        <v>0</v>
      </c>
      <c r="D200">
        <v>174</v>
      </c>
      <c r="E200">
        <v>0</v>
      </c>
      <c r="F200">
        <v>161</v>
      </c>
      <c r="G200">
        <v>0</v>
      </c>
      <c r="H200">
        <v>0</v>
      </c>
      <c r="I200">
        <v>335</v>
      </c>
      <c r="J200" s="41">
        <v>-840</v>
      </c>
    </row>
    <row r="201" spans="1:10" ht="15">
      <c r="A201" t="s">
        <v>472</v>
      </c>
      <c r="B201" t="s">
        <v>480</v>
      </c>
      <c r="C201">
        <v>0</v>
      </c>
      <c r="D201">
        <v>0</v>
      </c>
      <c r="E201">
        <v>172</v>
      </c>
      <c r="F201">
        <v>0</v>
      </c>
      <c r="G201">
        <v>0</v>
      </c>
      <c r="H201">
        <v>155</v>
      </c>
      <c r="I201">
        <v>327</v>
      </c>
      <c r="J201" s="41">
        <v>-848</v>
      </c>
    </row>
    <row r="202" spans="1:10" ht="15">
      <c r="A202" t="s">
        <v>379</v>
      </c>
      <c r="B202" t="s">
        <v>383</v>
      </c>
      <c r="C202">
        <v>0</v>
      </c>
      <c r="D202">
        <v>171</v>
      </c>
      <c r="E202">
        <v>150</v>
      </c>
      <c r="F202">
        <v>0</v>
      </c>
      <c r="G202">
        <v>0</v>
      </c>
      <c r="H202">
        <v>0</v>
      </c>
      <c r="I202">
        <v>321</v>
      </c>
      <c r="J202" s="41">
        <v>-854</v>
      </c>
    </row>
    <row r="203" spans="1:10" ht="15">
      <c r="A203" t="s">
        <v>493</v>
      </c>
      <c r="B203" t="s">
        <v>496</v>
      </c>
      <c r="C203">
        <v>180</v>
      </c>
      <c r="D203">
        <v>0</v>
      </c>
      <c r="E203">
        <v>0</v>
      </c>
      <c r="F203">
        <v>0</v>
      </c>
      <c r="G203">
        <v>0</v>
      </c>
      <c r="H203">
        <v>141</v>
      </c>
      <c r="I203">
        <v>321</v>
      </c>
      <c r="J203" s="41">
        <v>-854</v>
      </c>
    </row>
    <row r="204" spans="1:10" ht="15">
      <c r="A204" t="s">
        <v>332</v>
      </c>
      <c r="B204" t="s">
        <v>339</v>
      </c>
      <c r="C204">
        <v>0</v>
      </c>
      <c r="D204">
        <v>0</v>
      </c>
      <c r="E204">
        <v>154</v>
      </c>
      <c r="F204">
        <v>0</v>
      </c>
      <c r="G204">
        <v>0</v>
      </c>
      <c r="H204">
        <v>144</v>
      </c>
      <c r="I204">
        <v>298</v>
      </c>
      <c r="J204" s="41">
        <v>-877</v>
      </c>
    </row>
    <row r="205" spans="1:10" ht="15">
      <c r="A205" t="s">
        <v>486</v>
      </c>
      <c r="B205" t="s">
        <v>491</v>
      </c>
      <c r="C205">
        <v>0</v>
      </c>
      <c r="D205">
        <v>0</v>
      </c>
      <c r="E205">
        <v>143</v>
      </c>
      <c r="F205">
        <v>0</v>
      </c>
      <c r="G205">
        <v>0</v>
      </c>
      <c r="H205">
        <v>155</v>
      </c>
      <c r="I205">
        <v>298</v>
      </c>
      <c r="J205" s="41">
        <v>-877</v>
      </c>
    </row>
    <row r="206" spans="1:10" ht="15">
      <c r="A206" t="s">
        <v>479</v>
      </c>
      <c r="B206" t="s">
        <v>483</v>
      </c>
      <c r="C206">
        <v>0</v>
      </c>
      <c r="D206">
        <v>152</v>
      </c>
      <c r="E206">
        <v>143</v>
      </c>
      <c r="F206">
        <v>0</v>
      </c>
      <c r="G206">
        <v>0</v>
      </c>
      <c r="H206">
        <v>0</v>
      </c>
      <c r="I206">
        <v>295</v>
      </c>
      <c r="J206" s="41">
        <v>-880</v>
      </c>
    </row>
    <row r="207" spans="1:10" ht="15">
      <c r="A207" t="s">
        <v>379</v>
      </c>
      <c r="B207" t="s">
        <v>375</v>
      </c>
      <c r="C207">
        <v>0</v>
      </c>
      <c r="D207">
        <v>0</v>
      </c>
      <c r="E207">
        <v>0</v>
      </c>
      <c r="F207">
        <v>0</v>
      </c>
      <c r="G207">
        <v>141</v>
      </c>
      <c r="H207">
        <v>147</v>
      </c>
      <c r="I207">
        <v>288</v>
      </c>
      <c r="J207" s="41">
        <v>-887</v>
      </c>
    </row>
    <row r="208" spans="1:10" ht="15">
      <c r="A208" t="s">
        <v>221</v>
      </c>
      <c r="B208" t="s">
        <v>525</v>
      </c>
      <c r="C208">
        <v>111</v>
      </c>
      <c r="D208">
        <v>0</v>
      </c>
      <c r="E208">
        <v>0</v>
      </c>
      <c r="F208">
        <v>0</v>
      </c>
      <c r="G208">
        <v>175</v>
      </c>
      <c r="H208">
        <v>0</v>
      </c>
      <c r="I208">
        <v>286</v>
      </c>
      <c r="J208" s="41">
        <v>-889</v>
      </c>
    </row>
    <row r="209" spans="1:10" ht="15">
      <c r="A209" t="s">
        <v>372</v>
      </c>
      <c r="B209" t="s">
        <v>585</v>
      </c>
      <c r="C209">
        <v>0</v>
      </c>
      <c r="D209">
        <v>0</v>
      </c>
      <c r="E209">
        <v>0</v>
      </c>
      <c r="F209">
        <v>118</v>
      </c>
      <c r="G209">
        <v>118</v>
      </c>
      <c r="H209">
        <v>0</v>
      </c>
      <c r="I209">
        <v>236</v>
      </c>
      <c r="J209" s="41">
        <v>-939</v>
      </c>
    </row>
    <row r="210" spans="1:10" ht="15">
      <c r="A210" t="s">
        <v>650</v>
      </c>
      <c r="B210" t="s">
        <v>544</v>
      </c>
      <c r="C210">
        <v>0</v>
      </c>
      <c r="D210">
        <v>0</v>
      </c>
      <c r="E210">
        <v>0</v>
      </c>
      <c r="F210">
        <v>108</v>
      </c>
      <c r="G210">
        <v>104</v>
      </c>
      <c r="H210">
        <v>0</v>
      </c>
      <c r="I210">
        <v>212</v>
      </c>
      <c r="J210" s="41">
        <v>-963</v>
      </c>
    </row>
    <row r="211" spans="1:10" ht="15">
      <c r="A211" t="s">
        <v>48</v>
      </c>
      <c r="B211" t="s">
        <v>407</v>
      </c>
      <c r="C211">
        <v>101</v>
      </c>
      <c r="D211">
        <v>0</v>
      </c>
      <c r="E211">
        <v>0</v>
      </c>
      <c r="F211">
        <v>0</v>
      </c>
      <c r="G211">
        <v>0</v>
      </c>
      <c r="H211">
        <v>106</v>
      </c>
      <c r="I211">
        <v>207</v>
      </c>
      <c r="J211" s="41">
        <v>-968</v>
      </c>
    </row>
    <row r="212" spans="1:10" ht="15">
      <c r="A212" t="s">
        <v>126</v>
      </c>
      <c r="B212" t="s">
        <v>448</v>
      </c>
      <c r="C212">
        <v>111</v>
      </c>
      <c r="D212">
        <v>0</v>
      </c>
      <c r="E212">
        <v>0</v>
      </c>
      <c r="F212">
        <v>96</v>
      </c>
      <c r="G212">
        <v>0</v>
      </c>
      <c r="H212">
        <v>0</v>
      </c>
      <c r="I212">
        <v>207</v>
      </c>
      <c r="J212" s="41">
        <v>-968</v>
      </c>
    </row>
    <row r="213" spans="1:10" ht="15">
      <c r="A213" t="s">
        <v>126</v>
      </c>
      <c r="B213" t="s">
        <v>451</v>
      </c>
      <c r="C213">
        <v>0</v>
      </c>
      <c r="D213">
        <v>89</v>
      </c>
      <c r="E213">
        <v>0</v>
      </c>
      <c r="F213">
        <v>0</v>
      </c>
      <c r="G213">
        <v>0</v>
      </c>
      <c r="H213">
        <v>113</v>
      </c>
      <c r="I213">
        <v>202</v>
      </c>
      <c r="J213" s="41">
        <v>-973</v>
      </c>
    </row>
    <row r="214" spans="1:10" ht="15">
      <c r="A214" t="s">
        <v>493</v>
      </c>
      <c r="B214" t="s">
        <v>500</v>
      </c>
      <c r="C214">
        <v>0</v>
      </c>
      <c r="D214">
        <v>0</v>
      </c>
      <c r="E214">
        <v>0</v>
      </c>
      <c r="F214">
        <v>169</v>
      </c>
      <c r="G214">
        <v>0</v>
      </c>
      <c r="H214">
        <v>0</v>
      </c>
      <c r="I214">
        <v>169</v>
      </c>
      <c r="J214" s="41">
        <v>-1006</v>
      </c>
    </row>
    <row r="215" spans="1:10" ht="15">
      <c r="A215" t="s">
        <v>493</v>
      </c>
      <c r="B215" t="s">
        <v>501</v>
      </c>
      <c r="C215">
        <v>0</v>
      </c>
      <c r="D215">
        <v>0</v>
      </c>
      <c r="E215">
        <v>0</v>
      </c>
      <c r="F215">
        <v>0</v>
      </c>
      <c r="G215">
        <v>152</v>
      </c>
      <c r="H215">
        <v>0</v>
      </c>
      <c r="I215">
        <v>152</v>
      </c>
      <c r="J215" s="41">
        <v>-1023</v>
      </c>
    </row>
    <row r="216" spans="1:10" ht="15">
      <c r="A216" t="s">
        <v>365</v>
      </c>
      <c r="B216" t="s">
        <v>371</v>
      </c>
      <c r="C216">
        <v>0</v>
      </c>
      <c r="D216">
        <v>0</v>
      </c>
      <c r="E216">
        <v>0</v>
      </c>
      <c r="F216">
        <v>132</v>
      </c>
      <c r="G216">
        <v>0</v>
      </c>
      <c r="H216">
        <v>0</v>
      </c>
      <c r="I216">
        <v>132</v>
      </c>
      <c r="J216" s="41">
        <v>-1043</v>
      </c>
    </row>
    <row r="217" spans="1:10" ht="15">
      <c r="A217" t="s">
        <v>126</v>
      </c>
      <c r="B217" t="s">
        <v>572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131</v>
      </c>
      <c r="I217">
        <v>131</v>
      </c>
      <c r="J217" s="41">
        <v>-1044</v>
      </c>
    </row>
    <row r="218" spans="1:10" ht="15">
      <c r="A218" t="s">
        <v>316</v>
      </c>
      <c r="B218" t="s">
        <v>557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124</v>
      </c>
      <c r="I218">
        <v>124</v>
      </c>
      <c r="J218" s="41">
        <v>-1051</v>
      </c>
    </row>
    <row r="219" spans="1:10" ht="15">
      <c r="A219" t="s">
        <v>340</v>
      </c>
      <c r="B219" t="s">
        <v>344</v>
      </c>
      <c r="C219">
        <v>110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110</v>
      </c>
      <c r="J219" s="41">
        <v>-1065</v>
      </c>
    </row>
    <row r="220" spans="1:10" ht="15">
      <c r="A220" t="s">
        <v>412</v>
      </c>
      <c r="B220" t="s">
        <v>419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107</v>
      </c>
      <c r="I220">
        <v>107</v>
      </c>
      <c r="J220" s="41">
        <v>-1068</v>
      </c>
    </row>
    <row r="221" spans="1:10" ht="15">
      <c r="A221" t="s">
        <v>412</v>
      </c>
      <c r="B221" t="s">
        <v>420</v>
      </c>
      <c r="C221">
        <v>0</v>
      </c>
      <c r="D221">
        <v>0</v>
      </c>
      <c r="E221">
        <v>0</v>
      </c>
      <c r="F221">
        <v>0</v>
      </c>
      <c r="G221">
        <v>106</v>
      </c>
      <c r="H221">
        <v>0</v>
      </c>
      <c r="I221">
        <v>106</v>
      </c>
      <c r="J221" s="41">
        <v>-1069</v>
      </c>
    </row>
    <row r="222" spans="1:10" ht="15">
      <c r="A222" t="s">
        <v>332</v>
      </c>
      <c r="B222" t="s">
        <v>338</v>
      </c>
      <c r="C222">
        <v>0</v>
      </c>
      <c r="D222">
        <v>0</v>
      </c>
      <c r="E222">
        <v>0</v>
      </c>
      <c r="F222">
        <v>87</v>
      </c>
      <c r="G222">
        <v>0</v>
      </c>
      <c r="H222">
        <v>0</v>
      </c>
      <c r="I222">
        <v>87</v>
      </c>
      <c r="J222" s="41">
        <v>-1088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 topLeftCell="A1">
      <selection activeCell="B36" sqref="B36"/>
    </sheetView>
  </sheetViews>
  <sheetFormatPr defaultColWidth="42.00390625" defaultRowHeight="15"/>
  <cols>
    <col min="1" max="1" width="11.28125" style="1" customWidth="1"/>
    <col min="2" max="2" width="45.7109375" style="1" bestFit="1" customWidth="1"/>
    <col min="3" max="3" width="10.7109375" style="1" bestFit="1" customWidth="1"/>
    <col min="4" max="4" width="14.57421875" style="1" bestFit="1" customWidth="1"/>
    <col min="5" max="16384" width="42.00390625" style="1" customWidth="1"/>
  </cols>
  <sheetData>
    <row r="1" spans="2:4" ht="15">
      <c r="B1" s="1" t="s">
        <v>646</v>
      </c>
      <c r="C1" s="1" t="s">
        <v>3</v>
      </c>
      <c r="D1" s="1" t="s">
        <v>613</v>
      </c>
    </row>
    <row r="2" spans="1:3" ht="15">
      <c r="A2" s="1">
        <v>1</v>
      </c>
      <c r="B2" s="40" t="s">
        <v>651</v>
      </c>
      <c r="C2" s="1">
        <v>5457</v>
      </c>
    </row>
    <row r="3" spans="1:4" ht="15">
      <c r="A3" s="1">
        <v>2</v>
      </c>
      <c r="B3" s="40" t="s">
        <v>472</v>
      </c>
      <c r="C3" s="1">
        <v>5433</v>
      </c>
      <c r="D3" s="1">
        <v>-24</v>
      </c>
    </row>
    <row r="4" spans="1:4" ht="15">
      <c r="A4" s="1">
        <v>3</v>
      </c>
      <c r="B4" s="40" t="s">
        <v>358</v>
      </c>
      <c r="C4" s="1">
        <v>5376</v>
      </c>
      <c r="D4" s="1">
        <v>-81</v>
      </c>
    </row>
    <row r="5" spans="1:4" ht="15">
      <c r="A5" s="1">
        <v>4</v>
      </c>
      <c r="B5" s="40" t="s">
        <v>35</v>
      </c>
      <c r="C5" s="1">
        <v>5373</v>
      </c>
      <c r="D5" s="1">
        <v>-84</v>
      </c>
    </row>
    <row r="6" spans="1:4" ht="15">
      <c r="A6" s="1">
        <v>5</v>
      </c>
      <c r="B6" s="40" t="s">
        <v>144</v>
      </c>
      <c r="C6" s="1">
        <v>5346</v>
      </c>
      <c r="D6" s="1">
        <v>-111</v>
      </c>
    </row>
    <row r="7" spans="1:4" ht="15">
      <c r="A7" s="1">
        <v>6</v>
      </c>
      <c r="B7" s="40" t="s">
        <v>17</v>
      </c>
      <c r="C7" s="1">
        <v>5282</v>
      </c>
      <c r="D7" s="1">
        <v>-175</v>
      </c>
    </row>
    <row r="8" spans="1:4" ht="15">
      <c r="A8" s="1">
        <v>7</v>
      </c>
      <c r="B8" s="40" t="s">
        <v>71</v>
      </c>
      <c r="C8" s="1">
        <v>5244</v>
      </c>
      <c r="D8" s="1">
        <v>-213</v>
      </c>
    </row>
    <row r="9" spans="1:4" ht="15">
      <c r="A9" s="1">
        <v>8</v>
      </c>
      <c r="B9" s="40" t="s">
        <v>479</v>
      </c>
      <c r="C9" s="1">
        <v>5085</v>
      </c>
      <c r="D9" s="1">
        <v>-372</v>
      </c>
    </row>
    <row r="10" spans="1:4" ht="15">
      <c r="A10" s="1">
        <v>9</v>
      </c>
      <c r="B10" s="40" t="s">
        <v>649</v>
      </c>
      <c r="C10" s="1">
        <v>5064</v>
      </c>
      <c r="D10" s="1">
        <v>-393</v>
      </c>
    </row>
    <row r="11" spans="1:4" ht="15">
      <c r="A11" s="1">
        <v>10</v>
      </c>
      <c r="B11" s="40" t="s">
        <v>385</v>
      </c>
      <c r="C11" s="1">
        <v>5063</v>
      </c>
      <c r="D11" s="1">
        <v>-394</v>
      </c>
    </row>
    <row r="12" spans="1:4" ht="15">
      <c r="A12" s="1">
        <v>11</v>
      </c>
      <c r="B12" s="40" t="s">
        <v>493</v>
      </c>
      <c r="C12" s="1">
        <v>5055</v>
      </c>
      <c r="D12" s="1">
        <v>-402</v>
      </c>
    </row>
    <row r="13" spans="1:4" ht="15">
      <c r="A13" s="1">
        <v>12</v>
      </c>
      <c r="B13" s="40" t="s">
        <v>79</v>
      </c>
      <c r="C13" s="1">
        <v>5024</v>
      </c>
      <c r="D13" s="1">
        <v>-433</v>
      </c>
    </row>
    <row r="14" spans="1:4" ht="15">
      <c r="A14" s="1">
        <v>13</v>
      </c>
      <c r="B14" s="40" t="s">
        <v>379</v>
      </c>
      <c r="C14" s="1">
        <v>5003</v>
      </c>
      <c r="D14" s="1">
        <v>-454</v>
      </c>
    </row>
    <row r="15" spans="1:4" ht="15">
      <c r="A15" s="1">
        <v>14</v>
      </c>
      <c r="B15" s="40" t="s">
        <v>316</v>
      </c>
      <c r="C15" s="1">
        <v>4932</v>
      </c>
      <c r="D15" s="1">
        <v>-525</v>
      </c>
    </row>
    <row r="16" spans="1:4" ht="15">
      <c r="A16" s="1">
        <v>15</v>
      </c>
      <c r="B16" s="40" t="s">
        <v>652</v>
      </c>
      <c r="C16" s="1">
        <v>4875</v>
      </c>
      <c r="D16" s="1">
        <v>-582</v>
      </c>
    </row>
    <row r="17" spans="1:4" ht="15">
      <c r="A17" s="1">
        <v>16</v>
      </c>
      <c r="B17" s="40" t="s">
        <v>365</v>
      </c>
      <c r="C17" s="1">
        <v>4857</v>
      </c>
      <c r="D17" s="1">
        <v>-600</v>
      </c>
    </row>
    <row r="18" spans="1:4" ht="15">
      <c r="A18" s="1">
        <v>17</v>
      </c>
      <c r="B18" s="40" t="s">
        <v>221</v>
      </c>
      <c r="C18" s="1">
        <v>4782</v>
      </c>
      <c r="D18" s="1">
        <v>-675</v>
      </c>
    </row>
    <row r="19" spans="1:4" ht="15">
      <c r="A19" s="1">
        <v>18</v>
      </c>
      <c r="B19" s="40" t="s">
        <v>153</v>
      </c>
      <c r="C19" s="1">
        <v>4778</v>
      </c>
      <c r="D19" s="1">
        <v>-679</v>
      </c>
    </row>
    <row r="20" spans="1:4" ht="15">
      <c r="A20" s="1">
        <v>19</v>
      </c>
      <c r="B20" s="40" t="s">
        <v>332</v>
      </c>
      <c r="C20" s="1">
        <v>4762</v>
      </c>
      <c r="D20" s="1">
        <v>-695</v>
      </c>
    </row>
    <row r="21" spans="1:4" ht="15">
      <c r="A21" s="1">
        <v>20</v>
      </c>
      <c r="B21" s="40" t="s">
        <v>96</v>
      </c>
      <c r="C21" s="1">
        <v>4693</v>
      </c>
      <c r="D21" s="1">
        <v>-764</v>
      </c>
    </row>
    <row r="22" spans="1:4" ht="15">
      <c r="A22" s="1">
        <v>21</v>
      </c>
      <c r="B22" s="40" t="s">
        <v>486</v>
      </c>
      <c r="C22" s="1">
        <v>4689</v>
      </c>
      <c r="D22" s="1">
        <v>-768</v>
      </c>
    </row>
    <row r="23" spans="1:4" ht="15">
      <c r="A23" s="1">
        <v>22</v>
      </c>
      <c r="B23" s="40" t="s">
        <v>340</v>
      </c>
      <c r="C23" s="1">
        <v>4659</v>
      </c>
      <c r="D23" s="1">
        <v>-798</v>
      </c>
    </row>
    <row r="24" spans="1:4" ht="15">
      <c r="A24" s="1">
        <v>23</v>
      </c>
      <c r="B24" s="40" t="s">
        <v>502</v>
      </c>
      <c r="C24" s="1">
        <v>4604</v>
      </c>
      <c r="D24" s="1">
        <v>-853</v>
      </c>
    </row>
    <row r="25" spans="1:4" ht="15">
      <c r="A25" s="1">
        <v>24</v>
      </c>
      <c r="B25" s="40" t="s">
        <v>650</v>
      </c>
      <c r="C25" s="1">
        <v>4577</v>
      </c>
      <c r="D25" s="1">
        <v>-880</v>
      </c>
    </row>
    <row r="26" spans="1:4" ht="15">
      <c r="A26" s="1">
        <v>25</v>
      </c>
      <c r="B26" s="40" t="s">
        <v>162</v>
      </c>
      <c r="C26" s="1">
        <v>4550</v>
      </c>
      <c r="D26" s="1">
        <v>-907</v>
      </c>
    </row>
    <row r="27" spans="1:4" ht="15">
      <c r="A27" s="1">
        <v>26</v>
      </c>
      <c r="B27" s="40" t="s">
        <v>230</v>
      </c>
      <c r="C27" s="1">
        <v>4511</v>
      </c>
      <c r="D27" s="1">
        <v>-946</v>
      </c>
    </row>
    <row r="28" spans="1:4" ht="15">
      <c r="A28" s="1">
        <v>27</v>
      </c>
      <c r="B28" s="40" t="s">
        <v>532</v>
      </c>
      <c r="C28" s="1">
        <v>4481</v>
      </c>
      <c r="D28" s="1">
        <v>-976</v>
      </c>
    </row>
    <row r="29" spans="1:4" ht="15">
      <c r="A29" s="1">
        <v>28</v>
      </c>
      <c r="B29" s="40" t="s">
        <v>87</v>
      </c>
      <c r="C29" s="1">
        <v>4478</v>
      </c>
      <c r="D29" s="1">
        <v>-979</v>
      </c>
    </row>
    <row r="30" spans="1:4" ht="15">
      <c r="A30" s="1">
        <v>29</v>
      </c>
      <c r="B30" s="40" t="s">
        <v>353</v>
      </c>
      <c r="C30" s="1">
        <v>4376</v>
      </c>
      <c r="D30" s="1">
        <v>-1081</v>
      </c>
    </row>
    <row r="31" spans="1:4" ht="15">
      <c r="A31" s="1">
        <v>30</v>
      </c>
      <c r="B31" s="40" t="s">
        <v>126</v>
      </c>
      <c r="C31" s="1">
        <v>4317</v>
      </c>
      <c r="D31" s="1">
        <v>-1140</v>
      </c>
    </row>
    <row r="32" spans="1:4" ht="15">
      <c r="A32" s="1">
        <v>31</v>
      </c>
      <c r="B32" s="40" t="s">
        <v>433</v>
      </c>
      <c r="C32" s="1">
        <v>4315</v>
      </c>
      <c r="D32" s="1">
        <v>-1142</v>
      </c>
    </row>
    <row r="33" spans="1:4" ht="15">
      <c r="A33" s="1">
        <v>32</v>
      </c>
      <c r="B33" s="40" t="s">
        <v>48</v>
      </c>
      <c r="C33" s="1">
        <v>4277</v>
      </c>
      <c r="D33" s="1">
        <v>-1180</v>
      </c>
    </row>
    <row r="34" spans="1:4" ht="15">
      <c r="A34" s="1">
        <v>33</v>
      </c>
      <c r="B34" s="40" t="s">
        <v>398</v>
      </c>
      <c r="C34" s="1">
        <v>4248</v>
      </c>
      <c r="D34" s="1">
        <v>-1209</v>
      </c>
    </row>
    <row r="35" spans="1:4" ht="15">
      <c r="A35" s="1">
        <v>34</v>
      </c>
      <c r="B35" s="40" t="s">
        <v>412</v>
      </c>
      <c r="C35" s="1">
        <v>4190</v>
      </c>
      <c r="D35" s="1">
        <v>-1267</v>
      </c>
    </row>
    <row r="36" spans="1:4" ht="15">
      <c r="A36" s="1">
        <v>35</v>
      </c>
      <c r="B36" s="40" t="s">
        <v>372</v>
      </c>
      <c r="C36" s="1">
        <v>4137</v>
      </c>
      <c r="D36" s="1">
        <v>-1320</v>
      </c>
    </row>
    <row r="37" spans="1:4" ht="15">
      <c r="A37" s="1">
        <v>36</v>
      </c>
      <c r="B37" s="40" t="s">
        <v>631</v>
      </c>
      <c r="C37" s="1">
        <v>3920</v>
      </c>
      <c r="D37" s="1">
        <v>-1537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tabSelected="1" workbookViewId="0" topLeftCell="A10">
      <selection activeCell="B16" sqref="B16"/>
    </sheetView>
  </sheetViews>
  <sheetFormatPr defaultColWidth="9.140625" defaultRowHeight="15"/>
  <cols>
    <col min="1" max="1" width="7.57421875" style="11" bestFit="1" customWidth="1"/>
    <col min="2" max="2" width="73.8515625" style="11" bestFit="1" customWidth="1"/>
    <col min="3" max="3" width="16.28125" style="11" bestFit="1" customWidth="1"/>
    <col min="4" max="4" width="14.28125" style="11" bestFit="1" customWidth="1"/>
    <col min="5" max="8" width="12.28125" style="18" bestFit="1" customWidth="1"/>
    <col min="9" max="9" width="11.28125" style="11" bestFit="1" customWidth="1"/>
    <col min="10" max="256" width="9.140625" style="11" customWidth="1"/>
    <col min="257" max="257" width="7.57421875" style="11" bestFit="1" customWidth="1"/>
    <col min="258" max="258" width="73.8515625" style="11" bestFit="1" customWidth="1"/>
    <col min="259" max="259" width="16.28125" style="11" bestFit="1" customWidth="1"/>
    <col min="260" max="260" width="14.28125" style="11" bestFit="1" customWidth="1"/>
    <col min="261" max="264" width="12.28125" style="11" bestFit="1" customWidth="1"/>
    <col min="265" max="265" width="11.28125" style="11" bestFit="1" customWidth="1"/>
    <col min="266" max="512" width="9.140625" style="11" customWidth="1"/>
    <col min="513" max="513" width="7.57421875" style="11" bestFit="1" customWidth="1"/>
    <col min="514" max="514" width="73.8515625" style="11" bestFit="1" customWidth="1"/>
    <col min="515" max="515" width="16.28125" style="11" bestFit="1" customWidth="1"/>
    <col min="516" max="516" width="14.28125" style="11" bestFit="1" customWidth="1"/>
    <col min="517" max="520" width="12.28125" style="11" bestFit="1" customWidth="1"/>
    <col min="521" max="521" width="11.28125" style="11" bestFit="1" customWidth="1"/>
    <col min="522" max="768" width="9.140625" style="11" customWidth="1"/>
    <col min="769" max="769" width="7.57421875" style="11" bestFit="1" customWidth="1"/>
    <col min="770" max="770" width="73.8515625" style="11" bestFit="1" customWidth="1"/>
    <col min="771" max="771" width="16.28125" style="11" bestFit="1" customWidth="1"/>
    <col min="772" max="772" width="14.28125" style="11" bestFit="1" customWidth="1"/>
    <col min="773" max="776" width="12.28125" style="11" bestFit="1" customWidth="1"/>
    <col min="777" max="777" width="11.28125" style="11" bestFit="1" customWidth="1"/>
    <col min="778" max="1024" width="9.140625" style="11" customWidth="1"/>
    <col min="1025" max="1025" width="7.57421875" style="11" bestFit="1" customWidth="1"/>
    <col min="1026" max="1026" width="73.8515625" style="11" bestFit="1" customWidth="1"/>
    <col min="1027" max="1027" width="16.28125" style="11" bestFit="1" customWidth="1"/>
    <col min="1028" max="1028" width="14.28125" style="11" bestFit="1" customWidth="1"/>
    <col min="1029" max="1032" width="12.28125" style="11" bestFit="1" customWidth="1"/>
    <col min="1033" max="1033" width="11.28125" style="11" bestFit="1" customWidth="1"/>
    <col min="1034" max="1280" width="9.140625" style="11" customWidth="1"/>
    <col min="1281" max="1281" width="7.57421875" style="11" bestFit="1" customWidth="1"/>
    <col min="1282" max="1282" width="73.8515625" style="11" bestFit="1" customWidth="1"/>
    <col min="1283" max="1283" width="16.28125" style="11" bestFit="1" customWidth="1"/>
    <col min="1284" max="1284" width="14.28125" style="11" bestFit="1" customWidth="1"/>
    <col min="1285" max="1288" width="12.28125" style="11" bestFit="1" customWidth="1"/>
    <col min="1289" max="1289" width="11.28125" style="11" bestFit="1" customWidth="1"/>
    <col min="1290" max="1536" width="9.140625" style="11" customWidth="1"/>
    <col min="1537" max="1537" width="7.57421875" style="11" bestFit="1" customWidth="1"/>
    <col min="1538" max="1538" width="73.8515625" style="11" bestFit="1" customWidth="1"/>
    <col min="1539" max="1539" width="16.28125" style="11" bestFit="1" customWidth="1"/>
    <col min="1540" max="1540" width="14.28125" style="11" bestFit="1" customWidth="1"/>
    <col min="1541" max="1544" width="12.28125" style="11" bestFit="1" customWidth="1"/>
    <col min="1545" max="1545" width="11.28125" style="11" bestFit="1" customWidth="1"/>
    <col min="1546" max="1792" width="9.140625" style="11" customWidth="1"/>
    <col min="1793" max="1793" width="7.57421875" style="11" bestFit="1" customWidth="1"/>
    <col min="1794" max="1794" width="73.8515625" style="11" bestFit="1" customWidth="1"/>
    <col min="1795" max="1795" width="16.28125" style="11" bestFit="1" customWidth="1"/>
    <col min="1796" max="1796" width="14.28125" style="11" bestFit="1" customWidth="1"/>
    <col min="1797" max="1800" width="12.28125" style="11" bestFit="1" customWidth="1"/>
    <col min="1801" max="1801" width="11.28125" style="11" bestFit="1" customWidth="1"/>
    <col min="1802" max="2048" width="9.140625" style="11" customWidth="1"/>
    <col min="2049" max="2049" width="7.57421875" style="11" bestFit="1" customWidth="1"/>
    <col min="2050" max="2050" width="73.8515625" style="11" bestFit="1" customWidth="1"/>
    <col min="2051" max="2051" width="16.28125" style="11" bestFit="1" customWidth="1"/>
    <col min="2052" max="2052" width="14.28125" style="11" bestFit="1" customWidth="1"/>
    <col min="2053" max="2056" width="12.28125" style="11" bestFit="1" customWidth="1"/>
    <col min="2057" max="2057" width="11.28125" style="11" bestFit="1" customWidth="1"/>
    <col min="2058" max="2304" width="9.140625" style="11" customWidth="1"/>
    <col min="2305" max="2305" width="7.57421875" style="11" bestFit="1" customWidth="1"/>
    <col min="2306" max="2306" width="73.8515625" style="11" bestFit="1" customWidth="1"/>
    <col min="2307" max="2307" width="16.28125" style="11" bestFit="1" customWidth="1"/>
    <col min="2308" max="2308" width="14.28125" style="11" bestFit="1" customWidth="1"/>
    <col min="2309" max="2312" width="12.28125" style="11" bestFit="1" customWidth="1"/>
    <col min="2313" max="2313" width="11.28125" style="11" bestFit="1" customWidth="1"/>
    <col min="2314" max="2560" width="9.140625" style="11" customWidth="1"/>
    <col min="2561" max="2561" width="7.57421875" style="11" bestFit="1" customWidth="1"/>
    <col min="2562" max="2562" width="73.8515625" style="11" bestFit="1" customWidth="1"/>
    <col min="2563" max="2563" width="16.28125" style="11" bestFit="1" customWidth="1"/>
    <col min="2564" max="2564" width="14.28125" style="11" bestFit="1" customWidth="1"/>
    <col min="2565" max="2568" width="12.28125" style="11" bestFit="1" customWidth="1"/>
    <col min="2569" max="2569" width="11.28125" style="11" bestFit="1" customWidth="1"/>
    <col min="2570" max="2816" width="9.140625" style="11" customWidth="1"/>
    <col min="2817" max="2817" width="7.57421875" style="11" bestFit="1" customWidth="1"/>
    <col min="2818" max="2818" width="73.8515625" style="11" bestFit="1" customWidth="1"/>
    <col min="2819" max="2819" width="16.28125" style="11" bestFit="1" customWidth="1"/>
    <col min="2820" max="2820" width="14.28125" style="11" bestFit="1" customWidth="1"/>
    <col min="2821" max="2824" width="12.28125" style="11" bestFit="1" customWidth="1"/>
    <col min="2825" max="2825" width="11.28125" style="11" bestFit="1" customWidth="1"/>
    <col min="2826" max="3072" width="9.140625" style="11" customWidth="1"/>
    <col min="3073" max="3073" width="7.57421875" style="11" bestFit="1" customWidth="1"/>
    <col min="3074" max="3074" width="73.8515625" style="11" bestFit="1" customWidth="1"/>
    <col min="3075" max="3075" width="16.28125" style="11" bestFit="1" customWidth="1"/>
    <col min="3076" max="3076" width="14.28125" style="11" bestFit="1" customWidth="1"/>
    <col min="3077" max="3080" width="12.28125" style="11" bestFit="1" customWidth="1"/>
    <col min="3081" max="3081" width="11.28125" style="11" bestFit="1" customWidth="1"/>
    <col min="3082" max="3328" width="9.140625" style="11" customWidth="1"/>
    <col min="3329" max="3329" width="7.57421875" style="11" bestFit="1" customWidth="1"/>
    <col min="3330" max="3330" width="73.8515625" style="11" bestFit="1" customWidth="1"/>
    <col min="3331" max="3331" width="16.28125" style="11" bestFit="1" customWidth="1"/>
    <col min="3332" max="3332" width="14.28125" style="11" bestFit="1" customWidth="1"/>
    <col min="3333" max="3336" width="12.28125" style="11" bestFit="1" customWidth="1"/>
    <col min="3337" max="3337" width="11.28125" style="11" bestFit="1" customWidth="1"/>
    <col min="3338" max="3584" width="9.140625" style="11" customWidth="1"/>
    <col min="3585" max="3585" width="7.57421875" style="11" bestFit="1" customWidth="1"/>
    <col min="3586" max="3586" width="73.8515625" style="11" bestFit="1" customWidth="1"/>
    <col min="3587" max="3587" width="16.28125" style="11" bestFit="1" customWidth="1"/>
    <col min="3588" max="3588" width="14.28125" style="11" bestFit="1" customWidth="1"/>
    <col min="3589" max="3592" width="12.28125" style="11" bestFit="1" customWidth="1"/>
    <col min="3593" max="3593" width="11.28125" style="11" bestFit="1" customWidth="1"/>
    <col min="3594" max="3840" width="9.140625" style="11" customWidth="1"/>
    <col min="3841" max="3841" width="7.57421875" style="11" bestFit="1" customWidth="1"/>
    <col min="3842" max="3842" width="73.8515625" style="11" bestFit="1" customWidth="1"/>
    <col min="3843" max="3843" width="16.28125" style="11" bestFit="1" customWidth="1"/>
    <col min="3844" max="3844" width="14.28125" style="11" bestFit="1" customWidth="1"/>
    <col min="3845" max="3848" width="12.28125" style="11" bestFit="1" customWidth="1"/>
    <col min="3849" max="3849" width="11.28125" style="11" bestFit="1" customWidth="1"/>
    <col min="3850" max="4096" width="9.140625" style="11" customWidth="1"/>
    <col min="4097" max="4097" width="7.57421875" style="11" bestFit="1" customWidth="1"/>
    <col min="4098" max="4098" width="73.8515625" style="11" bestFit="1" customWidth="1"/>
    <col min="4099" max="4099" width="16.28125" style="11" bestFit="1" customWidth="1"/>
    <col min="4100" max="4100" width="14.28125" style="11" bestFit="1" customWidth="1"/>
    <col min="4101" max="4104" width="12.28125" style="11" bestFit="1" customWidth="1"/>
    <col min="4105" max="4105" width="11.28125" style="11" bestFit="1" customWidth="1"/>
    <col min="4106" max="4352" width="9.140625" style="11" customWidth="1"/>
    <col min="4353" max="4353" width="7.57421875" style="11" bestFit="1" customWidth="1"/>
    <col min="4354" max="4354" width="73.8515625" style="11" bestFit="1" customWidth="1"/>
    <col min="4355" max="4355" width="16.28125" style="11" bestFit="1" customWidth="1"/>
    <col min="4356" max="4356" width="14.28125" style="11" bestFit="1" customWidth="1"/>
    <col min="4357" max="4360" width="12.28125" style="11" bestFit="1" customWidth="1"/>
    <col min="4361" max="4361" width="11.28125" style="11" bestFit="1" customWidth="1"/>
    <col min="4362" max="4608" width="9.140625" style="11" customWidth="1"/>
    <col min="4609" max="4609" width="7.57421875" style="11" bestFit="1" customWidth="1"/>
    <col min="4610" max="4610" width="73.8515625" style="11" bestFit="1" customWidth="1"/>
    <col min="4611" max="4611" width="16.28125" style="11" bestFit="1" customWidth="1"/>
    <col min="4612" max="4612" width="14.28125" style="11" bestFit="1" customWidth="1"/>
    <col min="4613" max="4616" width="12.28125" style="11" bestFit="1" customWidth="1"/>
    <col min="4617" max="4617" width="11.28125" style="11" bestFit="1" customWidth="1"/>
    <col min="4618" max="4864" width="9.140625" style="11" customWidth="1"/>
    <col min="4865" max="4865" width="7.57421875" style="11" bestFit="1" customWidth="1"/>
    <col min="4866" max="4866" width="73.8515625" style="11" bestFit="1" customWidth="1"/>
    <col min="4867" max="4867" width="16.28125" style="11" bestFit="1" customWidth="1"/>
    <col min="4868" max="4868" width="14.28125" style="11" bestFit="1" customWidth="1"/>
    <col min="4869" max="4872" width="12.28125" style="11" bestFit="1" customWidth="1"/>
    <col min="4873" max="4873" width="11.28125" style="11" bestFit="1" customWidth="1"/>
    <col min="4874" max="5120" width="9.140625" style="11" customWidth="1"/>
    <col min="5121" max="5121" width="7.57421875" style="11" bestFit="1" customWidth="1"/>
    <col min="5122" max="5122" width="73.8515625" style="11" bestFit="1" customWidth="1"/>
    <col min="5123" max="5123" width="16.28125" style="11" bestFit="1" customWidth="1"/>
    <col min="5124" max="5124" width="14.28125" style="11" bestFit="1" customWidth="1"/>
    <col min="5125" max="5128" width="12.28125" style="11" bestFit="1" customWidth="1"/>
    <col min="5129" max="5129" width="11.28125" style="11" bestFit="1" customWidth="1"/>
    <col min="5130" max="5376" width="9.140625" style="11" customWidth="1"/>
    <col min="5377" max="5377" width="7.57421875" style="11" bestFit="1" customWidth="1"/>
    <col min="5378" max="5378" width="73.8515625" style="11" bestFit="1" customWidth="1"/>
    <col min="5379" max="5379" width="16.28125" style="11" bestFit="1" customWidth="1"/>
    <col min="5380" max="5380" width="14.28125" style="11" bestFit="1" customWidth="1"/>
    <col min="5381" max="5384" width="12.28125" style="11" bestFit="1" customWidth="1"/>
    <col min="5385" max="5385" width="11.28125" style="11" bestFit="1" customWidth="1"/>
    <col min="5386" max="5632" width="9.140625" style="11" customWidth="1"/>
    <col min="5633" max="5633" width="7.57421875" style="11" bestFit="1" customWidth="1"/>
    <col min="5634" max="5634" width="73.8515625" style="11" bestFit="1" customWidth="1"/>
    <col min="5635" max="5635" width="16.28125" style="11" bestFit="1" customWidth="1"/>
    <col min="5636" max="5636" width="14.28125" style="11" bestFit="1" customWidth="1"/>
    <col min="5637" max="5640" width="12.28125" style="11" bestFit="1" customWidth="1"/>
    <col min="5641" max="5641" width="11.28125" style="11" bestFit="1" customWidth="1"/>
    <col min="5642" max="5888" width="9.140625" style="11" customWidth="1"/>
    <col min="5889" max="5889" width="7.57421875" style="11" bestFit="1" customWidth="1"/>
    <col min="5890" max="5890" width="73.8515625" style="11" bestFit="1" customWidth="1"/>
    <col min="5891" max="5891" width="16.28125" style="11" bestFit="1" customWidth="1"/>
    <col min="5892" max="5892" width="14.28125" style="11" bestFit="1" customWidth="1"/>
    <col min="5893" max="5896" width="12.28125" style="11" bestFit="1" customWidth="1"/>
    <col min="5897" max="5897" width="11.28125" style="11" bestFit="1" customWidth="1"/>
    <col min="5898" max="6144" width="9.140625" style="11" customWidth="1"/>
    <col min="6145" max="6145" width="7.57421875" style="11" bestFit="1" customWidth="1"/>
    <col min="6146" max="6146" width="73.8515625" style="11" bestFit="1" customWidth="1"/>
    <col min="6147" max="6147" width="16.28125" style="11" bestFit="1" customWidth="1"/>
    <col min="6148" max="6148" width="14.28125" style="11" bestFit="1" customWidth="1"/>
    <col min="6149" max="6152" width="12.28125" style="11" bestFit="1" customWidth="1"/>
    <col min="6153" max="6153" width="11.28125" style="11" bestFit="1" customWidth="1"/>
    <col min="6154" max="6400" width="9.140625" style="11" customWidth="1"/>
    <col min="6401" max="6401" width="7.57421875" style="11" bestFit="1" customWidth="1"/>
    <col min="6402" max="6402" width="73.8515625" style="11" bestFit="1" customWidth="1"/>
    <col min="6403" max="6403" width="16.28125" style="11" bestFit="1" customWidth="1"/>
    <col min="6404" max="6404" width="14.28125" style="11" bestFit="1" customWidth="1"/>
    <col min="6405" max="6408" width="12.28125" style="11" bestFit="1" customWidth="1"/>
    <col min="6409" max="6409" width="11.28125" style="11" bestFit="1" customWidth="1"/>
    <col min="6410" max="6656" width="9.140625" style="11" customWidth="1"/>
    <col min="6657" max="6657" width="7.57421875" style="11" bestFit="1" customWidth="1"/>
    <col min="6658" max="6658" width="73.8515625" style="11" bestFit="1" customWidth="1"/>
    <col min="6659" max="6659" width="16.28125" style="11" bestFit="1" customWidth="1"/>
    <col min="6660" max="6660" width="14.28125" style="11" bestFit="1" customWidth="1"/>
    <col min="6661" max="6664" width="12.28125" style="11" bestFit="1" customWidth="1"/>
    <col min="6665" max="6665" width="11.28125" style="11" bestFit="1" customWidth="1"/>
    <col min="6666" max="6912" width="9.140625" style="11" customWidth="1"/>
    <col min="6913" max="6913" width="7.57421875" style="11" bestFit="1" customWidth="1"/>
    <col min="6914" max="6914" width="73.8515625" style="11" bestFit="1" customWidth="1"/>
    <col min="6915" max="6915" width="16.28125" style="11" bestFit="1" customWidth="1"/>
    <col min="6916" max="6916" width="14.28125" style="11" bestFit="1" customWidth="1"/>
    <col min="6917" max="6920" width="12.28125" style="11" bestFit="1" customWidth="1"/>
    <col min="6921" max="6921" width="11.28125" style="11" bestFit="1" customWidth="1"/>
    <col min="6922" max="7168" width="9.140625" style="11" customWidth="1"/>
    <col min="7169" max="7169" width="7.57421875" style="11" bestFit="1" customWidth="1"/>
    <col min="7170" max="7170" width="73.8515625" style="11" bestFit="1" customWidth="1"/>
    <col min="7171" max="7171" width="16.28125" style="11" bestFit="1" customWidth="1"/>
    <col min="7172" max="7172" width="14.28125" style="11" bestFit="1" customWidth="1"/>
    <col min="7173" max="7176" width="12.28125" style="11" bestFit="1" customWidth="1"/>
    <col min="7177" max="7177" width="11.28125" style="11" bestFit="1" customWidth="1"/>
    <col min="7178" max="7424" width="9.140625" style="11" customWidth="1"/>
    <col min="7425" max="7425" width="7.57421875" style="11" bestFit="1" customWidth="1"/>
    <col min="7426" max="7426" width="73.8515625" style="11" bestFit="1" customWidth="1"/>
    <col min="7427" max="7427" width="16.28125" style="11" bestFit="1" customWidth="1"/>
    <col min="7428" max="7428" width="14.28125" style="11" bestFit="1" customWidth="1"/>
    <col min="7429" max="7432" width="12.28125" style="11" bestFit="1" customWidth="1"/>
    <col min="7433" max="7433" width="11.28125" style="11" bestFit="1" customWidth="1"/>
    <col min="7434" max="7680" width="9.140625" style="11" customWidth="1"/>
    <col min="7681" max="7681" width="7.57421875" style="11" bestFit="1" customWidth="1"/>
    <col min="7682" max="7682" width="73.8515625" style="11" bestFit="1" customWidth="1"/>
    <col min="7683" max="7683" width="16.28125" style="11" bestFit="1" customWidth="1"/>
    <col min="7684" max="7684" width="14.28125" style="11" bestFit="1" customWidth="1"/>
    <col min="7685" max="7688" width="12.28125" style="11" bestFit="1" customWidth="1"/>
    <col min="7689" max="7689" width="11.28125" style="11" bestFit="1" customWidth="1"/>
    <col min="7690" max="7936" width="9.140625" style="11" customWidth="1"/>
    <col min="7937" max="7937" width="7.57421875" style="11" bestFit="1" customWidth="1"/>
    <col min="7938" max="7938" width="73.8515625" style="11" bestFit="1" customWidth="1"/>
    <col min="7939" max="7939" width="16.28125" style="11" bestFit="1" customWidth="1"/>
    <col min="7940" max="7940" width="14.28125" style="11" bestFit="1" customWidth="1"/>
    <col min="7941" max="7944" width="12.28125" style="11" bestFit="1" customWidth="1"/>
    <col min="7945" max="7945" width="11.28125" style="11" bestFit="1" customWidth="1"/>
    <col min="7946" max="8192" width="9.140625" style="11" customWidth="1"/>
    <col min="8193" max="8193" width="7.57421875" style="11" bestFit="1" customWidth="1"/>
    <col min="8194" max="8194" width="73.8515625" style="11" bestFit="1" customWidth="1"/>
    <col min="8195" max="8195" width="16.28125" style="11" bestFit="1" customWidth="1"/>
    <col min="8196" max="8196" width="14.28125" style="11" bestFit="1" customWidth="1"/>
    <col min="8197" max="8200" width="12.28125" style="11" bestFit="1" customWidth="1"/>
    <col min="8201" max="8201" width="11.28125" style="11" bestFit="1" customWidth="1"/>
    <col min="8202" max="8448" width="9.140625" style="11" customWidth="1"/>
    <col min="8449" max="8449" width="7.57421875" style="11" bestFit="1" customWidth="1"/>
    <col min="8450" max="8450" width="73.8515625" style="11" bestFit="1" customWidth="1"/>
    <col min="8451" max="8451" width="16.28125" style="11" bestFit="1" customWidth="1"/>
    <col min="8452" max="8452" width="14.28125" style="11" bestFit="1" customWidth="1"/>
    <col min="8453" max="8456" width="12.28125" style="11" bestFit="1" customWidth="1"/>
    <col min="8457" max="8457" width="11.28125" style="11" bestFit="1" customWidth="1"/>
    <col min="8458" max="8704" width="9.140625" style="11" customWidth="1"/>
    <col min="8705" max="8705" width="7.57421875" style="11" bestFit="1" customWidth="1"/>
    <col min="8706" max="8706" width="73.8515625" style="11" bestFit="1" customWidth="1"/>
    <col min="8707" max="8707" width="16.28125" style="11" bestFit="1" customWidth="1"/>
    <col min="8708" max="8708" width="14.28125" style="11" bestFit="1" customWidth="1"/>
    <col min="8709" max="8712" width="12.28125" style="11" bestFit="1" customWidth="1"/>
    <col min="8713" max="8713" width="11.28125" style="11" bestFit="1" customWidth="1"/>
    <col min="8714" max="8960" width="9.140625" style="11" customWidth="1"/>
    <col min="8961" max="8961" width="7.57421875" style="11" bestFit="1" customWidth="1"/>
    <col min="8962" max="8962" width="73.8515625" style="11" bestFit="1" customWidth="1"/>
    <col min="8963" max="8963" width="16.28125" style="11" bestFit="1" customWidth="1"/>
    <col min="8964" max="8964" width="14.28125" style="11" bestFit="1" customWidth="1"/>
    <col min="8965" max="8968" width="12.28125" style="11" bestFit="1" customWidth="1"/>
    <col min="8969" max="8969" width="11.28125" style="11" bestFit="1" customWidth="1"/>
    <col min="8970" max="9216" width="9.140625" style="11" customWidth="1"/>
    <col min="9217" max="9217" width="7.57421875" style="11" bestFit="1" customWidth="1"/>
    <col min="9218" max="9218" width="73.8515625" style="11" bestFit="1" customWidth="1"/>
    <col min="9219" max="9219" width="16.28125" style="11" bestFit="1" customWidth="1"/>
    <col min="9220" max="9220" width="14.28125" style="11" bestFit="1" customWidth="1"/>
    <col min="9221" max="9224" width="12.28125" style="11" bestFit="1" customWidth="1"/>
    <col min="9225" max="9225" width="11.28125" style="11" bestFit="1" customWidth="1"/>
    <col min="9226" max="9472" width="9.140625" style="11" customWidth="1"/>
    <col min="9473" max="9473" width="7.57421875" style="11" bestFit="1" customWidth="1"/>
    <col min="9474" max="9474" width="73.8515625" style="11" bestFit="1" customWidth="1"/>
    <col min="9475" max="9475" width="16.28125" style="11" bestFit="1" customWidth="1"/>
    <col min="9476" max="9476" width="14.28125" style="11" bestFit="1" customWidth="1"/>
    <col min="9477" max="9480" width="12.28125" style="11" bestFit="1" customWidth="1"/>
    <col min="9481" max="9481" width="11.28125" style="11" bestFit="1" customWidth="1"/>
    <col min="9482" max="9728" width="9.140625" style="11" customWidth="1"/>
    <col min="9729" max="9729" width="7.57421875" style="11" bestFit="1" customWidth="1"/>
    <col min="9730" max="9730" width="73.8515625" style="11" bestFit="1" customWidth="1"/>
    <col min="9731" max="9731" width="16.28125" style="11" bestFit="1" customWidth="1"/>
    <col min="9732" max="9732" width="14.28125" style="11" bestFit="1" customWidth="1"/>
    <col min="9733" max="9736" width="12.28125" style="11" bestFit="1" customWidth="1"/>
    <col min="9737" max="9737" width="11.28125" style="11" bestFit="1" customWidth="1"/>
    <col min="9738" max="9984" width="9.140625" style="11" customWidth="1"/>
    <col min="9985" max="9985" width="7.57421875" style="11" bestFit="1" customWidth="1"/>
    <col min="9986" max="9986" width="73.8515625" style="11" bestFit="1" customWidth="1"/>
    <col min="9987" max="9987" width="16.28125" style="11" bestFit="1" customWidth="1"/>
    <col min="9988" max="9988" width="14.28125" style="11" bestFit="1" customWidth="1"/>
    <col min="9989" max="9992" width="12.28125" style="11" bestFit="1" customWidth="1"/>
    <col min="9993" max="9993" width="11.28125" style="11" bestFit="1" customWidth="1"/>
    <col min="9994" max="10240" width="9.140625" style="11" customWidth="1"/>
    <col min="10241" max="10241" width="7.57421875" style="11" bestFit="1" customWidth="1"/>
    <col min="10242" max="10242" width="73.8515625" style="11" bestFit="1" customWidth="1"/>
    <col min="10243" max="10243" width="16.28125" style="11" bestFit="1" customWidth="1"/>
    <col min="10244" max="10244" width="14.28125" style="11" bestFit="1" customWidth="1"/>
    <col min="10245" max="10248" width="12.28125" style="11" bestFit="1" customWidth="1"/>
    <col min="10249" max="10249" width="11.28125" style="11" bestFit="1" customWidth="1"/>
    <col min="10250" max="10496" width="9.140625" style="11" customWidth="1"/>
    <col min="10497" max="10497" width="7.57421875" style="11" bestFit="1" customWidth="1"/>
    <col min="10498" max="10498" width="73.8515625" style="11" bestFit="1" customWidth="1"/>
    <col min="10499" max="10499" width="16.28125" style="11" bestFit="1" customWidth="1"/>
    <col min="10500" max="10500" width="14.28125" style="11" bestFit="1" customWidth="1"/>
    <col min="10501" max="10504" width="12.28125" style="11" bestFit="1" customWidth="1"/>
    <col min="10505" max="10505" width="11.28125" style="11" bestFit="1" customWidth="1"/>
    <col min="10506" max="10752" width="9.140625" style="11" customWidth="1"/>
    <col min="10753" max="10753" width="7.57421875" style="11" bestFit="1" customWidth="1"/>
    <col min="10754" max="10754" width="73.8515625" style="11" bestFit="1" customWidth="1"/>
    <col min="10755" max="10755" width="16.28125" style="11" bestFit="1" customWidth="1"/>
    <col min="10756" max="10756" width="14.28125" style="11" bestFit="1" customWidth="1"/>
    <col min="10757" max="10760" width="12.28125" style="11" bestFit="1" customWidth="1"/>
    <col min="10761" max="10761" width="11.28125" style="11" bestFit="1" customWidth="1"/>
    <col min="10762" max="11008" width="9.140625" style="11" customWidth="1"/>
    <col min="11009" max="11009" width="7.57421875" style="11" bestFit="1" customWidth="1"/>
    <col min="11010" max="11010" width="73.8515625" style="11" bestFit="1" customWidth="1"/>
    <col min="11011" max="11011" width="16.28125" style="11" bestFit="1" customWidth="1"/>
    <col min="11012" max="11012" width="14.28125" style="11" bestFit="1" customWidth="1"/>
    <col min="11013" max="11016" width="12.28125" style="11" bestFit="1" customWidth="1"/>
    <col min="11017" max="11017" width="11.28125" style="11" bestFit="1" customWidth="1"/>
    <col min="11018" max="11264" width="9.140625" style="11" customWidth="1"/>
    <col min="11265" max="11265" width="7.57421875" style="11" bestFit="1" customWidth="1"/>
    <col min="11266" max="11266" width="73.8515625" style="11" bestFit="1" customWidth="1"/>
    <col min="11267" max="11267" width="16.28125" style="11" bestFit="1" customWidth="1"/>
    <col min="11268" max="11268" width="14.28125" style="11" bestFit="1" customWidth="1"/>
    <col min="11269" max="11272" width="12.28125" style="11" bestFit="1" customWidth="1"/>
    <col min="11273" max="11273" width="11.28125" style="11" bestFit="1" customWidth="1"/>
    <col min="11274" max="11520" width="9.140625" style="11" customWidth="1"/>
    <col min="11521" max="11521" width="7.57421875" style="11" bestFit="1" customWidth="1"/>
    <col min="11522" max="11522" width="73.8515625" style="11" bestFit="1" customWidth="1"/>
    <col min="11523" max="11523" width="16.28125" style="11" bestFit="1" customWidth="1"/>
    <col min="11524" max="11524" width="14.28125" style="11" bestFit="1" customWidth="1"/>
    <col min="11525" max="11528" width="12.28125" style="11" bestFit="1" customWidth="1"/>
    <col min="11529" max="11529" width="11.28125" style="11" bestFit="1" customWidth="1"/>
    <col min="11530" max="11776" width="9.140625" style="11" customWidth="1"/>
    <col min="11777" max="11777" width="7.57421875" style="11" bestFit="1" customWidth="1"/>
    <col min="11778" max="11778" width="73.8515625" style="11" bestFit="1" customWidth="1"/>
    <col min="11779" max="11779" width="16.28125" style="11" bestFit="1" customWidth="1"/>
    <col min="11780" max="11780" width="14.28125" style="11" bestFit="1" customWidth="1"/>
    <col min="11781" max="11784" width="12.28125" style="11" bestFit="1" customWidth="1"/>
    <col min="11785" max="11785" width="11.28125" style="11" bestFit="1" customWidth="1"/>
    <col min="11786" max="12032" width="9.140625" style="11" customWidth="1"/>
    <col min="12033" max="12033" width="7.57421875" style="11" bestFit="1" customWidth="1"/>
    <col min="12034" max="12034" width="73.8515625" style="11" bestFit="1" customWidth="1"/>
    <col min="12035" max="12035" width="16.28125" style="11" bestFit="1" customWidth="1"/>
    <col min="12036" max="12036" width="14.28125" style="11" bestFit="1" customWidth="1"/>
    <col min="12037" max="12040" width="12.28125" style="11" bestFit="1" customWidth="1"/>
    <col min="12041" max="12041" width="11.28125" style="11" bestFit="1" customWidth="1"/>
    <col min="12042" max="12288" width="9.140625" style="11" customWidth="1"/>
    <col min="12289" max="12289" width="7.57421875" style="11" bestFit="1" customWidth="1"/>
    <col min="12290" max="12290" width="73.8515625" style="11" bestFit="1" customWidth="1"/>
    <col min="12291" max="12291" width="16.28125" style="11" bestFit="1" customWidth="1"/>
    <col min="12292" max="12292" width="14.28125" style="11" bestFit="1" customWidth="1"/>
    <col min="12293" max="12296" width="12.28125" style="11" bestFit="1" customWidth="1"/>
    <col min="12297" max="12297" width="11.28125" style="11" bestFit="1" customWidth="1"/>
    <col min="12298" max="12544" width="9.140625" style="11" customWidth="1"/>
    <col min="12545" max="12545" width="7.57421875" style="11" bestFit="1" customWidth="1"/>
    <col min="12546" max="12546" width="73.8515625" style="11" bestFit="1" customWidth="1"/>
    <col min="12547" max="12547" width="16.28125" style="11" bestFit="1" customWidth="1"/>
    <col min="12548" max="12548" width="14.28125" style="11" bestFit="1" customWidth="1"/>
    <col min="12549" max="12552" width="12.28125" style="11" bestFit="1" customWidth="1"/>
    <col min="12553" max="12553" width="11.28125" style="11" bestFit="1" customWidth="1"/>
    <col min="12554" max="12800" width="9.140625" style="11" customWidth="1"/>
    <col min="12801" max="12801" width="7.57421875" style="11" bestFit="1" customWidth="1"/>
    <col min="12802" max="12802" width="73.8515625" style="11" bestFit="1" customWidth="1"/>
    <col min="12803" max="12803" width="16.28125" style="11" bestFit="1" customWidth="1"/>
    <col min="12804" max="12804" width="14.28125" style="11" bestFit="1" customWidth="1"/>
    <col min="12805" max="12808" width="12.28125" style="11" bestFit="1" customWidth="1"/>
    <col min="12809" max="12809" width="11.28125" style="11" bestFit="1" customWidth="1"/>
    <col min="12810" max="13056" width="9.140625" style="11" customWidth="1"/>
    <col min="13057" max="13057" width="7.57421875" style="11" bestFit="1" customWidth="1"/>
    <col min="13058" max="13058" width="73.8515625" style="11" bestFit="1" customWidth="1"/>
    <col min="13059" max="13059" width="16.28125" style="11" bestFit="1" customWidth="1"/>
    <col min="13060" max="13060" width="14.28125" style="11" bestFit="1" customWidth="1"/>
    <col min="13061" max="13064" width="12.28125" style="11" bestFit="1" customWidth="1"/>
    <col min="13065" max="13065" width="11.28125" style="11" bestFit="1" customWidth="1"/>
    <col min="13066" max="13312" width="9.140625" style="11" customWidth="1"/>
    <col min="13313" max="13313" width="7.57421875" style="11" bestFit="1" customWidth="1"/>
    <col min="13314" max="13314" width="73.8515625" style="11" bestFit="1" customWidth="1"/>
    <col min="13315" max="13315" width="16.28125" style="11" bestFit="1" customWidth="1"/>
    <col min="13316" max="13316" width="14.28125" style="11" bestFit="1" customWidth="1"/>
    <col min="13317" max="13320" width="12.28125" style="11" bestFit="1" customWidth="1"/>
    <col min="13321" max="13321" width="11.28125" style="11" bestFit="1" customWidth="1"/>
    <col min="13322" max="13568" width="9.140625" style="11" customWidth="1"/>
    <col min="13569" max="13569" width="7.57421875" style="11" bestFit="1" customWidth="1"/>
    <col min="13570" max="13570" width="73.8515625" style="11" bestFit="1" customWidth="1"/>
    <col min="13571" max="13571" width="16.28125" style="11" bestFit="1" customWidth="1"/>
    <col min="13572" max="13572" width="14.28125" style="11" bestFit="1" customWidth="1"/>
    <col min="13573" max="13576" width="12.28125" style="11" bestFit="1" customWidth="1"/>
    <col min="13577" max="13577" width="11.28125" style="11" bestFit="1" customWidth="1"/>
    <col min="13578" max="13824" width="9.140625" style="11" customWidth="1"/>
    <col min="13825" max="13825" width="7.57421875" style="11" bestFit="1" customWidth="1"/>
    <col min="13826" max="13826" width="73.8515625" style="11" bestFit="1" customWidth="1"/>
    <col min="13827" max="13827" width="16.28125" style="11" bestFit="1" customWidth="1"/>
    <col min="13828" max="13828" width="14.28125" style="11" bestFit="1" customWidth="1"/>
    <col min="13829" max="13832" width="12.28125" style="11" bestFit="1" customWidth="1"/>
    <col min="13833" max="13833" width="11.28125" style="11" bestFit="1" customWidth="1"/>
    <col min="13834" max="14080" width="9.140625" style="11" customWidth="1"/>
    <col min="14081" max="14081" width="7.57421875" style="11" bestFit="1" customWidth="1"/>
    <col min="14082" max="14082" width="73.8515625" style="11" bestFit="1" customWidth="1"/>
    <col min="14083" max="14083" width="16.28125" style="11" bestFit="1" customWidth="1"/>
    <col min="14084" max="14084" width="14.28125" style="11" bestFit="1" customWidth="1"/>
    <col min="14085" max="14088" width="12.28125" style="11" bestFit="1" customWidth="1"/>
    <col min="14089" max="14089" width="11.28125" style="11" bestFit="1" customWidth="1"/>
    <col min="14090" max="14336" width="9.140625" style="11" customWidth="1"/>
    <col min="14337" max="14337" width="7.57421875" style="11" bestFit="1" customWidth="1"/>
    <col min="14338" max="14338" width="73.8515625" style="11" bestFit="1" customWidth="1"/>
    <col min="14339" max="14339" width="16.28125" style="11" bestFit="1" customWidth="1"/>
    <col min="14340" max="14340" width="14.28125" style="11" bestFit="1" customWidth="1"/>
    <col min="14341" max="14344" width="12.28125" style="11" bestFit="1" customWidth="1"/>
    <col min="14345" max="14345" width="11.28125" style="11" bestFit="1" customWidth="1"/>
    <col min="14346" max="14592" width="9.140625" style="11" customWidth="1"/>
    <col min="14593" max="14593" width="7.57421875" style="11" bestFit="1" customWidth="1"/>
    <col min="14594" max="14594" width="73.8515625" style="11" bestFit="1" customWidth="1"/>
    <col min="14595" max="14595" width="16.28125" style="11" bestFit="1" customWidth="1"/>
    <col min="14596" max="14596" width="14.28125" style="11" bestFit="1" customWidth="1"/>
    <col min="14597" max="14600" width="12.28125" style="11" bestFit="1" customWidth="1"/>
    <col min="14601" max="14601" width="11.28125" style="11" bestFit="1" customWidth="1"/>
    <col min="14602" max="14848" width="9.140625" style="11" customWidth="1"/>
    <col min="14849" max="14849" width="7.57421875" style="11" bestFit="1" customWidth="1"/>
    <col min="14850" max="14850" width="73.8515625" style="11" bestFit="1" customWidth="1"/>
    <col min="14851" max="14851" width="16.28125" style="11" bestFit="1" customWidth="1"/>
    <col min="14852" max="14852" width="14.28125" style="11" bestFit="1" customWidth="1"/>
    <col min="14853" max="14856" width="12.28125" style="11" bestFit="1" customWidth="1"/>
    <col min="14857" max="14857" width="11.28125" style="11" bestFit="1" customWidth="1"/>
    <col min="14858" max="15104" width="9.140625" style="11" customWidth="1"/>
    <col min="15105" max="15105" width="7.57421875" style="11" bestFit="1" customWidth="1"/>
    <col min="15106" max="15106" width="73.8515625" style="11" bestFit="1" customWidth="1"/>
    <col min="15107" max="15107" width="16.28125" style="11" bestFit="1" customWidth="1"/>
    <col min="15108" max="15108" width="14.28125" style="11" bestFit="1" customWidth="1"/>
    <col min="15109" max="15112" width="12.28125" style="11" bestFit="1" customWidth="1"/>
    <col min="15113" max="15113" width="11.28125" style="11" bestFit="1" customWidth="1"/>
    <col min="15114" max="15360" width="9.140625" style="11" customWidth="1"/>
    <col min="15361" max="15361" width="7.57421875" style="11" bestFit="1" customWidth="1"/>
    <col min="15362" max="15362" width="73.8515625" style="11" bestFit="1" customWidth="1"/>
    <col min="15363" max="15363" width="16.28125" style="11" bestFit="1" customWidth="1"/>
    <col min="15364" max="15364" width="14.28125" style="11" bestFit="1" customWidth="1"/>
    <col min="15365" max="15368" width="12.28125" style="11" bestFit="1" customWidth="1"/>
    <col min="15369" max="15369" width="11.28125" style="11" bestFit="1" customWidth="1"/>
    <col min="15370" max="15616" width="9.140625" style="11" customWidth="1"/>
    <col min="15617" max="15617" width="7.57421875" style="11" bestFit="1" customWidth="1"/>
    <col min="15618" max="15618" width="73.8515625" style="11" bestFit="1" customWidth="1"/>
    <col min="15619" max="15619" width="16.28125" style="11" bestFit="1" customWidth="1"/>
    <col min="15620" max="15620" width="14.28125" style="11" bestFit="1" customWidth="1"/>
    <col min="15621" max="15624" width="12.28125" style="11" bestFit="1" customWidth="1"/>
    <col min="15625" max="15625" width="11.28125" style="11" bestFit="1" customWidth="1"/>
    <col min="15626" max="15872" width="9.140625" style="11" customWidth="1"/>
    <col min="15873" max="15873" width="7.57421875" style="11" bestFit="1" customWidth="1"/>
    <col min="15874" max="15874" width="73.8515625" style="11" bestFit="1" customWidth="1"/>
    <col min="15875" max="15875" width="16.28125" style="11" bestFit="1" customWidth="1"/>
    <col min="15876" max="15876" width="14.28125" style="11" bestFit="1" customWidth="1"/>
    <col min="15877" max="15880" width="12.28125" style="11" bestFit="1" customWidth="1"/>
    <col min="15881" max="15881" width="11.28125" style="11" bestFit="1" customWidth="1"/>
    <col min="15882" max="16128" width="9.140625" style="11" customWidth="1"/>
    <col min="16129" max="16129" width="7.57421875" style="11" bestFit="1" customWidth="1"/>
    <col min="16130" max="16130" width="73.8515625" style="11" bestFit="1" customWidth="1"/>
    <col min="16131" max="16131" width="16.28125" style="11" bestFit="1" customWidth="1"/>
    <col min="16132" max="16132" width="14.28125" style="11" bestFit="1" customWidth="1"/>
    <col min="16133" max="16136" width="12.28125" style="11" bestFit="1" customWidth="1"/>
    <col min="16137" max="16137" width="11.28125" style="11" bestFit="1" customWidth="1"/>
    <col min="16138" max="16384" width="9.140625" style="11" customWidth="1"/>
  </cols>
  <sheetData>
    <row r="1" spans="1:9" ht="20.25">
      <c r="A1" s="43" t="s">
        <v>616</v>
      </c>
      <c r="B1" s="43"/>
      <c r="C1" s="43"/>
      <c r="D1" s="43"/>
      <c r="E1" s="43"/>
      <c r="F1" s="43"/>
      <c r="G1" s="43"/>
      <c r="H1" s="43"/>
      <c r="I1" s="43"/>
    </row>
    <row r="2" spans="1:9" ht="20.25">
      <c r="A2" s="44" t="s">
        <v>617</v>
      </c>
      <c r="B2" s="44"/>
      <c r="C2" s="44"/>
      <c r="D2" s="44"/>
      <c r="E2" s="44"/>
      <c r="F2" s="44"/>
      <c r="G2" s="44"/>
      <c r="H2" s="44"/>
      <c r="I2" s="44"/>
    </row>
    <row r="3" spans="5:8" ht="20.25">
      <c r="E3" s="11"/>
      <c r="F3" s="11"/>
      <c r="G3" s="11"/>
      <c r="H3" s="11"/>
    </row>
    <row r="4" spans="1:9" ht="15">
      <c r="A4" s="12" t="s">
        <v>618</v>
      </c>
      <c r="B4" s="12" t="s">
        <v>619</v>
      </c>
      <c r="C4" s="12"/>
      <c r="D4" s="12" t="s">
        <v>620</v>
      </c>
      <c r="E4" s="12" t="s">
        <v>621</v>
      </c>
      <c r="F4" s="12" t="s">
        <v>622</v>
      </c>
      <c r="G4" s="12" t="s">
        <v>623</v>
      </c>
      <c r="H4" s="12" t="s">
        <v>624</v>
      </c>
      <c r="I4" s="12" t="s">
        <v>625</v>
      </c>
    </row>
    <row r="5" spans="1:9" ht="15">
      <c r="A5" s="13"/>
      <c r="B5" s="12"/>
      <c r="C5" s="12"/>
      <c r="D5" s="12"/>
      <c r="E5" s="12"/>
      <c r="F5" s="12"/>
      <c r="G5" s="12"/>
      <c r="H5" s="12"/>
      <c r="I5" s="12"/>
    </row>
    <row r="6" spans="1:9" ht="15">
      <c r="A6" s="14">
        <v>1</v>
      </c>
      <c r="B6" s="15" t="s">
        <v>302</v>
      </c>
      <c r="C6" s="16"/>
      <c r="D6" s="14">
        <v>6099</v>
      </c>
      <c r="E6" s="17">
        <f>188+193+182+187</f>
        <v>750</v>
      </c>
      <c r="F6" s="17">
        <f>201+162+174+209</f>
        <v>746</v>
      </c>
      <c r="G6" s="17">
        <f>169+179+225+181</f>
        <v>754</v>
      </c>
      <c r="H6" s="17">
        <f>147+158+181+180</f>
        <v>666</v>
      </c>
      <c r="I6" s="15">
        <f aca="true" t="shared" si="0" ref="I6:I49">SUM(D6:H6)</f>
        <v>9015</v>
      </c>
    </row>
    <row r="7" spans="1:9" ht="15">
      <c r="A7" s="14">
        <f aca="true" t="shared" si="1" ref="A7:A49">A6+1</f>
        <v>2</v>
      </c>
      <c r="B7" s="15" t="s">
        <v>96</v>
      </c>
      <c r="C7" s="16"/>
      <c r="D7" s="14">
        <v>5990</v>
      </c>
      <c r="E7" s="17">
        <f>156+180+207+204</f>
        <v>747</v>
      </c>
      <c r="F7" s="17">
        <f>207+199+188+188</f>
        <v>782</v>
      </c>
      <c r="G7" s="17">
        <f>180+155+163+154</f>
        <v>652</v>
      </c>
      <c r="H7" s="15">
        <f>148+192+164+191</f>
        <v>695</v>
      </c>
      <c r="I7" s="15">
        <f t="shared" si="0"/>
        <v>8866</v>
      </c>
    </row>
    <row r="8" spans="1:9" ht="15">
      <c r="A8" s="14">
        <f t="shared" si="1"/>
        <v>3</v>
      </c>
      <c r="B8" s="15" t="s">
        <v>221</v>
      </c>
      <c r="C8" s="16"/>
      <c r="D8" s="14">
        <v>5866</v>
      </c>
      <c r="E8" s="17">
        <f>208+165+176+189</f>
        <v>738</v>
      </c>
      <c r="F8" s="17">
        <f>196+183+187+142</f>
        <v>708</v>
      </c>
      <c r="G8" s="17">
        <f>215+149+215+191</f>
        <v>770</v>
      </c>
      <c r="H8" s="17">
        <f>215+182+135+187</f>
        <v>719</v>
      </c>
      <c r="I8" s="15">
        <f t="shared" si="0"/>
        <v>8801</v>
      </c>
    </row>
    <row r="9" spans="1:9" ht="15">
      <c r="A9" s="14">
        <f t="shared" si="1"/>
        <v>4</v>
      </c>
      <c r="B9" s="15" t="s">
        <v>104</v>
      </c>
      <c r="C9" s="16"/>
      <c r="D9" s="14">
        <v>5704</v>
      </c>
      <c r="E9" s="17">
        <f>165+162+160+218</f>
        <v>705</v>
      </c>
      <c r="F9" s="17">
        <f>181+165+187+210</f>
        <v>743</v>
      </c>
      <c r="G9" s="17">
        <f>189+199+173+204</f>
        <v>765</v>
      </c>
      <c r="H9" s="17">
        <f>181+201+173+195</f>
        <v>750</v>
      </c>
      <c r="I9" s="15">
        <f t="shared" si="0"/>
        <v>8667</v>
      </c>
    </row>
    <row r="10" spans="1:9" ht="15">
      <c r="A10" s="14">
        <f t="shared" si="1"/>
        <v>5</v>
      </c>
      <c r="B10" s="15" t="s">
        <v>316</v>
      </c>
      <c r="C10" s="16"/>
      <c r="D10" s="14">
        <v>5703</v>
      </c>
      <c r="E10" s="17">
        <f>130+192+164+219</f>
        <v>705</v>
      </c>
      <c r="F10" s="17">
        <f>178+171+228+202</f>
        <v>779</v>
      </c>
      <c r="G10" s="17">
        <f>215+165+180+233</f>
        <v>793</v>
      </c>
      <c r="H10" s="17">
        <f>175+174+185+153</f>
        <v>687</v>
      </c>
      <c r="I10" s="15">
        <f t="shared" si="0"/>
        <v>8667</v>
      </c>
    </row>
    <row r="11" spans="1:9" ht="15">
      <c r="A11" s="14">
        <f t="shared" si="1"/>
        <v>6</v>
      </c>
      <c r="B11" s="15" t="s">
        <v>144</v>
      </c>
      <c r="C11" s="16"/>
      <c r="D11" s="14">
        <v>5736</v>
      </c>
      <c r="E11" s="17">
        <f>178+216+162+164</f>
        <v>720</v>
      </c>
      <c r="F11" s="17">
        <f>154+196+197+196</f>
        <v>743</v>
      </c>
      <c r="G11" s="17">
        <f>186+202+177+136</f>
        <v>701</v>
      </c>
      <c r="H11" s="17">
        <f>169+163+227+188</f>
        <v>747</v>
      </c>
      <c r="I11" s="15">
        <f t="shared" si="0"/>
        <v>8647</v>
      </c>
    </row>
    <row r="12" spans="1:9" ht="15">
      <c r="A12" s="14">
        <f t="shared" si="1"/>
        <v>7</v>
      </c>
      <c r="B12" s="15" t="s">
        <v>649</v>
      </c>
      <c r="C12" s="16"/>
      <c r="D12" s="14">
        <v>5806</v>
      </c>
      <c r="E12" s="15">
        <f>189+190+231+183</f>
        <v>793</v>
      </c>
      <c r="F12" s="15">
        <f>164+168+177+156</f>
        <v>665</v>
      </c>
      <c r="G12" s="15">
        <f>174+190+146+178</f>
        <v>688</v>
      </c>
      <c r="H12" s="15">
        <f>161+138+213+173</f>
        <v>685</v>
      </c>
      <c r="I12" s="15">
        <f t="shared" si="0"/>
        <v>8637</v>
      </c>
    </row>
    <row r="13" spans="1:9" ht="15">
      <c r="A13" s="14">
        <f t="shared" si="1"/>
        <v>8</v>
      </c>
      <c r="B13" s="15" t="s">
        <v>656</v>
      </c>
      <c r="C13" s="16"/>
      <c r="D13" s="14">
        <v>5757</v>
      </c>
      <c r="E13" s="17">
        <f>165+157+153+204</f>
        <v>679</v>
      </c>
      <c r="F13" s="17">
        <f>170+160+171+148</f>
        <v>649</v>
      </c>
      <c r="G13" s="17">
        <f>163+208+192+189</f>
        <v>752</v>
      </c>
      <c r="H13" s="17">
        <f>164+163+142+180</f>
        <v>649</v>
      </c>
      <c r="I13" s="15">
        <f t="shared" si="0"/>
        <v>8486</v>
      </c>
    </row>
    <row r="14" spans="1:9" ht="15">
      <c r="A14" s="14">
        <f t="shared" si="1"/>
        <v>9</v>
      </c>
      <c r="B14" s="15" t="s">
        <v>576</v>
      </c>
      <c r="C14" s="16"/>
      <c r="D14" s="14">
        <v>5533</v>
      </c>
      <c r="E14" s="17">
        <f>191+190+197+206</f>
        <v>784</v>
      </c>
      <c r="F14" s="17">
        <f>136+176+157+171</f>
        <v>640</v>
      </c>
      <c r="G14" s="17">
        <f>181+176+241+169</f>
        <v>767</v>
      </c>
      <c r="H14" s="17">
        <f>172+188+201+157</f>
        <v>718</v>
      </c>
      <c r="I14" s="15">
        <f t="shared" si="0"/>
        <v>8442</v>
      </c>
    </row>
    <row r="15" spans="1:9" ht="15">
      <c r="A15" s="14">
        <f t="shared" si="1"/>
        <v>10</v>
      </c>
      <c r="B15" s="15" t="s">
        <v>655</v>
      </c>
      <c r="C15" s="16"/>
      <c r="D15" s="14">
        <v>5449</v>
      </c>
      <c r="E15" s="17">
        <f>182+194+236+170</f>
        <v>782</v>
      </c>
      <c r="F15" s="17">
        <f>179+223+179+171</f>
        <v>752</v>
      </c>
      <c r="G15" s="17">
        <f>167+171+171+230</f>
        <v>739</v>
      </c>
      <c r="H15" s="17">
        <f>168+180+156+175</f>
        <v>679</v>
      </c>
      <c r="I15" s="15">
        <f t="shared" si="0"/>
        <v>8401</v>
      </c>
    </row>
    <row r="16" spans="1:9" ht="15">
      <c r="A16" s="14">
        <f t="shared" si="1"/>
        <v>11</v>
      </c>
      <c r="B16" s="15" t="s">
        <v>230</v>
      </c>
      <c r="C16" s="16"/>
      <c r="D16" s="14">
        <v>5624</v>
      </c>
      <c r="E16" s="17">
        <f>144+148+184+182</f>
        <v>658</v>
      </c>
      <c r="F16" s="17">
        <f>142+168+191+185</f>
        <v>686</v>
      </c>
      <c r="G16" s="17">
        <f>181+181+161+180</f>
        <v>703</v>
      </c>
      <c r="H16" s="17">
        <f>228+173+183+139</f>
        <v>723</v>
      </c>
      <c r="I16" s="15">
        <f t="shared" si="0"/>
        <v>8394</v>
      </c>
    </row>
    <row r="17" spans="1:9" ht="15">
      <c r="A17" s="14">
        <f t="shared" si="1"/>
        <v>12</v>
      </c>
      <c r="B17" s="15" t="s">
        <v>162</v>
      </c>
      <c r="C17" s="16"/>
      <c r="D17" s="14">
        <v>5459</v>
      </c>
      <c r="E17" s="17">
        <f>158+210+157+198</f>
        <v>723</v>
      </c>
      <c r="F17" s="17">
        <f>169+170+144+167</f>
        <v>650</v>
      </c>
      <c r="G17" s="17">
        <f>236+158+170+215</f>
        <v>779</v>
      </c>
      <c r="H17" s="17">
        <f>206+192+215+163</f>
        <v>776</v>
      </c>
      <c r="I17" s="15">
        <f t="shared" si="0"/>
        <v>8387</v>
      </c>
    </row>
    <row r="18" spans="1:9" ht="15">
      <c r="A18" s="14">
        <f t="shared" si="1"/>
        <v>13</v>
      </c>
      <c r="B18" s="15" t="s">
        <v>71</v>
      </c>
      <c r="C18" s="16"/>
      <c r="D18" s="14">
        <v>5537</v>
      </c>
      <c r="E18" s="17">
        <f>150+191+204+182</f>
        <v>727</v>
      </c>
      <c r="F18" s="17">
        <f>201+179+166+170</f>
        <v>716</v>
      </c>
      <c r="G18" s="17">
        <f>143+165+209+156</f>
        <v>673</v>
      </c>
      <c r="H18" s="17">
        <f>187+197+174+138</f>
        <v>696</v>
      </c>
      <c r="I18" s="15">
        <f t="shared" si="0"/>
        <v>8349</v>
      </c>
    </row>
    <row r="19" spans="1:9" ht="15">
      <c r="A19" s="14">
        <f t="shared" si="1"/>
        <v>14</v>
      </c>
      <c r="B19" s="15" t="s">
        <v>87</v>
      </c>
      <c r="C19" s="16"/>
      <c r="D19" s="14">
        <v>5486</v>
      </c>
      <c r="E19" s="17">
        <f>171+157+159+193</f>
        <v>680</v>
      </c>
      <c r="F19" s="17">
        <f>155+176+174+150</f>
        <v>655</v>
      </c>
      <c r="G19" s="17">
        <f>132+183+164+197</f>
        <v>676</v>
      </c>
      <c r="H19" s="17">
        <f>187+195+188+200</f>
        <v>770</v>
      </c>
      <c r="I19" s="15">
        <f t="shared" si="0"/>
        <v>8267</v>
      </c>
    </row>
    <row r="20" spans="1:9" ht="15">
      <c r="A20" s="14">
        <f t="shared" si="1"/>
        <v>15</v>
      </c>
      <c r="B20" s="15" t="s">
        <v>309</v>
      </c>
      <c r="C20" s="16"/>
      <c r="D20" s="14">
        <v>5361</v>
      </c>
      <c r="E20" s="17">
        <f>147+201+123+175</f>
        <v>646</v>
      </c>
      <c r="F20" s="17">
        <f>149+142+184+182</f>
        <v>657</v>
      </c>
      <c r="G20" s="17">
        <f>169+151+167+216</f>
        <v>703</v>
      </c>
      <c r="H20" s="17">
        <f>178+244+210+183</f>
        <v>815</v>
      </c>
      <c r="I20" s="15">
        <f t="shared" si="0"/>
        <v>8182</v>
      </c>
    </row>
    <row r="21" spans="1:9" ht="15">
      <c r="A21" s="14">
        <f t="shared" si="1"/>
        <v>16</v>
      </c>
      <c r="B21" s="15" t="s">
        <v>35</v>
      </c>
      <c r="C21" s="16"/>
      <c r="D21" s="14">
        <v>5383</v>
      </c>
      <c r="E21" s="17">
        <f>130+202+148+142</f>
        <v>622</v>
      </c>
      <c r="F21" s="17">
        <f>194+116+159+172</f>
        <v>641</v>
      </c>
      <c r="G21" s="17">
        <f>170+222+151+200</f>
        <v>743</v>
      </c>
      <c r="H21" s="17">
        <f>190+165+199+217</f>
        <v>771</v>
      </c>
      <c r="I21" s="15">
        <f t="shared" si="0"/>
        <v>8160</v>
      </c>
    </row>
    <row r="22" spans="1:9" ht="15">
      <c r="A22" s="14">
        <f t="shared" si="1"/>
        <v>17</v>
      </c>
      <c r="B22" s="15" t="s">
        <v>650</v>
      </c>
      <c r="C22" s="16"/>
      <c r="D22" s="14">
        <v>5311</v>
      </c>
      <c r="E22" s="17">
        <f>163+148+139+164</f>
        <v>614</v>
      </c>
      <c r="F22" s="17">
        <f>162+224+178+159</f>
        <v>723</v>
      </c>
      <c r="G22" s="17">
        <f>175+148+176+183</f>
        <v>682</v>
      </c>
      <c r="H22" s="17">
        <f>176+159+182+181</f>
        <v>698</v>
      </c>
      <c r="I22" s="15">
        <f t="shared" si="0"/>
        <v>8028</v>
      </c>
    </row>
    <row r="23" spans="1:9" ht="15">
      <c r="A23" s="14">
        <f t="shared" si="1"/>
        <v>18</v>
      </c>
      <c r="B23" s="15" t="s">
        <v>153</v>
      </c>
      <c r="C23" s="16"/>
      <c r="D23" s="14">
        <v>5418</v>
      </c>
      <c r="E23" s="17">
        <f>194+199+167+174</f>
        <v>734</v>
      </c>
      <c r="F23" s="17">
        <f>170+145+133+171</f>
        <v>619</v>
      </c>
      <c r="G23" s="17">
        <f>143+138+126+138</f>
        <v>545</v>
      </c>
      <c r="H23" s="17">
        <f>184+166+169+169</f>
        <v>688</v>
      </c>
      <c r="I23" s="15">
        <f t="shared" si="0"/>
        <v>8004</v>
      </c>
    </row>
    <row r="24" spans="1:9" ht="15">
      <c r="A24" s="14">
        <f t="shared" si="1"/>
        <v>19</v>
      </c>
      <c r="B24" s="15" t="s">
        <v>579</v>
      </c>
      <c r="C24" s="16"/>
      <c r="D24" s="14">
        <v>5364</v>
      </c>
      <c r="E24" s="17">
        <f>166+186+130+167</f>
        <v>649</v>
      </c>
      <c r="F24" s="17">
        <f>183+105+194+167</f>
        <v>649</v>
      </c>
      <c r="G24" s="17">
        <f>169+194+158+146</f>
        <v>667</v>
      </c>
      <c r="H24" s="17">
        <f>167+141+196+170</f>
        <v>674</v>
      </c>
      <c r="I24" s="15">
        <f t="shared" si="0"/>
        <v>8003</v>
      </c>
    </row>
    <row r="25" spans="1:9" ht="15">
      <c r="A25" s="14">
        <f t="shared" si="1"/>
        <v>20</v>
      </c>
      <c r="B25" s="15" t="s">
        <v>55</v>
      </c>
      <c r="C25" s="16"/>
      <c r="D25" s="14">
        <v>5172</v>
      </c>
      <c r="E25" s="17">
        <f>181+192+254+185</f>
        <v>812</v>
      </c>
      <c r="F25" s="17">
        <f>168+148+143+202</f>
        <v>661</v>
      </c>
      <c r="G25" s="17">
        <f>174+173+179+160</f>
        <v>686</v>
      </c>
      <c r="H25" s="17">
        <f>150+183+176+162</f>
        <v>671</v>
      </c>
      <c r="I25" s="15">
        <f t="shared" si="0"/>
        <v>8002</v>
      </c>
    </row>
    <row r="26" spans="1:9" ht="15">
      <c r="A26" s="14">
        <f t="shared" si="1"/>
        <v>21</v>
      </c>
      <c r="B26" s="15" t="s">
        <v>278</v>
      </c>
      <c r="C26" s="16"/>
      <c r="D26" s="14">
        <v>5360</v>
      </c>
      <c r="E26" s="15">
        <f>165+152+190+149</f>
        <v>656</v>
      </c>
      <c r="F26" s="15">
        <f>169+172+152+148</f>
        <v>641</v>
      </c>
      <c r="G26" s="15">
        <f>200+169+175+151</f>
        <v>695</v>
      </c>
      <c r="H26" s="15">
        <f>185+159+162+144</f>
        <v>650</v>
      </c>
      <c r="I26" s="15">
        <f t="shared" si="0"/>
        <v>8002</v>
      </c>
    </row>
    <row r="27" spans="1:9" ht="15">
      <c r="A27" s="14">
        <f t="shared" si="1"/>
        <v>22</v>
      </c>
      <c r="B27" s="15" t="s">
        <v>12</v>
      </c>
      <c r="C27" s="16"/>
      <c r="D27" s="14">
        <v>5230</v>
      </c>
      <c r="E27" s="17">
        <f>140+150+215+216</f>
        <v>721</v>
      </c>
      <c r="F27" s="17">
        <f>158+147+141+167</f>
        <v>613</v>
      </c>
      <c r="G27" s="17">
        <f>135+243+197+174</f>
        <v>749</v>
      </c>
      <c r="H27" s="17">
        <f>156+157+179+142</f>
        <v>634</v>
      </c>
      <c r="I27" s="15">
        <f t="shared" si="0"/>
        <v>7947</v>
      </c>
    </row>
    <row r="28" spans="1:9" ht="15">
      <c r="A28" s="14">
        <f t="shared" si="1"/>
        <v>23</v>
      </c>
      <c r="B28" s="15" t="s">
        <v>30</v>
      </c>
      <c r="C28" s="16"/>
      <c r="D28" s="14">
        <v>5201</v>
      </c>
      <c r="E28" s="17">
        <f>145+129+174+194</f>
        <v>642</v>
      </c>
      <c r="F28" s="17">
        <f>188+129+149+160</f>
        <v>626</v>
      </c>
      <c r="G28" s="17">
        <f>163+200+171+164</f>
        <v>698</v>
      </c>
      <c r="H28" s="17">
        <f>164+136+156+231</f>
        <v>687</v>
      </c>
      <c r="I28" s="15">
        <f t="shared" si="0"/>
        <v>7854</v>
      </c>
    </row>
    <row r="29" spans="1:9" ht="15">
      <c r="A29" s="14">
        <f t="shared" si="1"/>
        <v>24</v>
      </c>
      <c r="B29" s="15" t="s">
        <v>238</v>
      </c>
      <c r="C29" s="16"/>
      <c r="D29" s="14">
        <v>5103</v>
      </c>
      <c r="E29" s="17">
        <f>147+158+124+209</f>
        <v>638</v>
      </c>
      <c r="F29" s="17">
        <f>202+182+207+195</f>
        <v>786</v>
      </c>
      <c r="G29" s="17">
        <f>164+166+135+128</f>
        <v>593</v>
      </c>
      <c r="H29" s="17">
        <f>181+178+152+209</f>
        <v>720</v>
      </c>
      <c r="I29" s="15">
        <f t="shared" si="0"/>
        <v>7840</v>
      </c>
    </row>
    <row r="30" spans="1:9" ht="15">
      <c r="A30" s="14">
        <f t="shared" si="1"/>
        <v>25</v>
      </c>
      <c r="B30" s="15" t="s">
        <v>42</v>
      </c>
      <c r="C30" s="16"/>
      <c r="D30" s="14">
        <v>5118</v>
      </c>
      <c r="E30" s="17">
        <f>182+181+128+187</f>
        <v>678</v>
      </c>
      <c r="F30" s="17">
        <f>200+170+155+187</f>
        <v>712</v>
      </c>
      <c r="G30" s="17">
        <f>181+174+179+169</f>
        <v>703</v>
      </c>
      <c r="H30" s="17">
        <f>154+175+159+136</f>
        <v>624</v>
      </c>
      <c r="I30" s="15">
        <f t="shared" si="0"/>
        <v>7835</v>
      </c>
    </row>
    <row r="31" spans="1:9" ht="15">
      <c r="A31" s="14">
        <f t="shared" si="1"/>
        <v>26</v>
      </c>
      <c r="B31" s="15" t="s">
        <v>79</v>
      </c>
      <c r="C31" s="16"/>
      <c r="D31" s="14">
        <v>5159</v>
      </c>
      <c r="E31" s="17">
        <f>168+190+197+161</f>
        <v>716</v>
      </c>
      <c r="F31" s="17">
        <f>173+153+125+232</f>
        <v>683</v>
      </c>
      <c r="G31" s="17">
        <f>156+155+166+145</f>
        <v>622</v>
      </c>
      <c r="H31" s="17">
        <f>168+164+156+126</f>
        <v>614</v>
      </c>
      <c r="I31" s="15">
        <f t="shared" si="0"/>
        <v>7794</v>
      </c>
    </row>
    <row r="32" spans="1:9" ht="15">
      <c r="A32" s="14">
        <f t="shared" si="1"/>
        <v>27</v>
      </c>
      <c r="B32" s="15" t="s">
        <v>578</v>
      </c>
      <c r="C32" s="16"/>
      <c r="D32" s="14">
        <v>5126</v>
      </c>
      <c r="E32" s="17">
        <f>158+109+199+145</f>
        <v>611</v>
      </c>
      <c r="F32" s="17">
        <f>179+154+179+170</f>
        <v>682</v>
      </c>
      <c r="G32" s="17">
        <f>157+157+190+148</f>
        <v>652</v>
      </c>
      <c r="H32" s="17">
        <f>174+162+199+180</f>
        <v>715</v>
      </c>
      <c r="I32" s="15">
        <f t="shared" si="0"/>
        <v>7786</v>
      </c>
    </row>
    <row r="33" spans="1:9" ht="15">
      <c r="A33" s="14">
        <f t="shared" si="1"/>
        <v>28</v>
      </c>
      <c r="B33" s="15" t="s">
        <v>17</v>
      </c>
      <c r="C33" s="16"/>
      <c r="D33" s="14">
        <v>4922</v>
      </c>
      <c r="E33" s="17">
        <f>166+181+237+170</f>
        <v>754</v>
      </c>
      <c r="F33" s="17">
        <f>155+185+151+179</f>
        <v>670</v>
      </c>
      <c r="G33" s="17">
        <f>177+157+165+175</f>
        <v>674</v>
      </c>
      <c r="H33" s="17">
        <f>177+225+168+178</f>
        <v>748</v>
      </c>
      <c r="I33" s="15">
        <f t="shared" si="0"/>
        <v>7768</v>
      </c>
    </row>
    <row r="34" spans="1:9" ht="15">
      <c r="A34" s="14">
        <f t="shared" si="1"/>
        <v>29</v>
      </c>
      <c r="B34" s="15" t="s">
        <v>325</v>
      </c>
      <c r="C34" s="16"/>
      <c r="D34" s="14">
        <v>5152</v>
      </c>
      <c r="E34" s="17">
        <f>144+151+167+181</f>
        <v>643</v>
      </c>
      <c r="F34" s="17">
        <f>130+167+193+167</f>
        <v>657</v>
      </c>
      <c r="G34" s="17">
        <f>180+134+159+165</f>
        <v>638</v>
      </c>
      <c r="H34" s="17">
        <f>160+164+176+178</f>
        <v>678</v>
      </c>
      <c r="I34" s="15">
        <f t="shared" si="0"/>
        <v>7768</v>
      </c>
    </row>
    <row r="35" spans="1:9" ht="15">
      <c r="A35" s="14">
        <f t="shared" si="1"/>
        <v>30</v>
      </c>
      <c r="B35" s="15" t="s">
        <v>106</v>
      </c>
      <c r="C35" s="16"/>
      <c r="D35" s="14">
        <v>5056</v>
      </c>
      <c r="E35" s="17">
        <f>159+223+159+208</f>
        <v>749</v>
      </c>
      <c r="F35" s="17">
        <f>148+146+132+182</f>
        <v>608</v>
      </c>
      <c r="G35" s="17">
        <f>169+158+177+186</f>
        <v>690</v>
      </c>
      <c r="H35" s="17">
        <f>166+180+144+169</f>
        <v>659</v>
      </c>
      <c r="I35" s="15">
        <f t="shared" si="0"/>
        <v>7762</v>
      </c>
    </row>
    <row r="36" spans="1:9" ht="15">
      <c r="A36" s="14">
        <f t="shared" si="1"/>
        <v>31</v>
      </c>
      <c r="B36" s="15" t="s">
        <v>170</v>
      </c>
      <c r="C36" s="16"/>
      <c r="D36" s="14">
        <v>5062</v>
      </c>
      <c r="E36" s="17">
        <f>181+144+150+161</f>
        <v>636</v>
      </c>
      <c r="F36" s="17">
        <f>135+183+121+200</f>
        <v>639</v>
      </c>
      <c r="G36" s="17">
        <f>164+160+158+186</f>
        <v>668</v>
      </c>
      <c r="H36" s="17">
        <f>224+171+134+207</f>
        <v>736</v>
      </c>
      <c r="I36" s="15">
        <f t="shared" si="0"/>
        <v>7741</v>
      </c>
    </row>
    <row r="37" spans="1:9" ht="15">
      <c r="A37" s="14">
        <f t="shared" si="1"/>
        <v>32</v>
      </c>
      <c r="B37" s="15" t="s">
        <v>88</v>
      </c>
      <c r="C37" s="16"/>
      <c r="D37" s="14">
        <v>5118</v>
      </c>
      <c r="E37" s="17">
        <f>136+145+136+171</f>
        <v>588</v>
      </c>
      <c r="F37" s="17">
        <f>161+196+175+184</f>
        <v>716</v>
      </c>
      <c r="G37" s="17">
        <f>196+149+162+181</f>
        <v>688</v>
      </c>
      <c r="H37" s="17">
        <f>120+178+134+170</f>
        <v>602</v>
      </c>
      <c r="I37" s="15">
        <f t="shared" si="0"/>
        <v>7712</v>
      </c>
    </row>
    <row r="38" spans="1:9" ht="15">
      <c r="A38" s="14">
        <f t="shared" si="1"/>
        <v>33</v>
      </c>
      <c r="B38" s="15" t="s">
        <v>48</v>
      </c>
      <c r="C38" s="16"/>
      <c r="D38" s="14">
        <v>5008</v>
      </c>
      <c r="E38" s="17">
        <f>147+181+148+183</f>
        <v>659</v>
      </c>
      <c r="F38" s="17">
        <f>157+165+168+130</f>
        <v>620</v>
      </c>
      <c r="G38" s="17">
        <f>174+162+190+191</f>
        <v>717</v>
      </c>
      <c r="H38" s="17">
        <f>163+206+169+159</f>
        <v>697</v>
      </c>
      <c r="I38" s="15">
        <f t="shared" si="0"/>
        <v>7701</v>
      </c>
    </row>
    <row r="39" spans="1:9" ht="15">
      <c r="A39" s="14">
        <f t="shared" si="1"/>
        <v>34</v>
      </c>
      <c r="B39" s="15" t="s">
        <v>63</v>
      </c>
      <c r="C39" s="16"/>
      <c r="D39" s="14">
        <v>4928</v>
      </c>
      <c r="E39" s="17">
        <f>175+194+145+166</f>
        <v>680</v>
      </c>
      <c r="F39" s="17">
        <f>173+161+206+183</f>
        <v>723</v>
      </c>
      <c r="G39" s="17">
        <f>154+172+161+172</f>
        <v>659</v>
      </c>
      <c r="H39" s="17">
        <f>155+161+146+139</f>
        <v>601</v>
      </c>
      <c r="I39" s="15">
        <f t="shared" si="0"/>
        <v>7591</v>
      </c>
    </row>
    <row r="40" spans="1:9" ht="15">
      <c r="A40" s="14">
        <f t="shared" si="1"/>
        <v>35</v>
      </c>
      <c r="B40" s="15" t="s">
        <v>255</v>
      </c>
      <c r="C40" s="16"/>
      <c r="D40" s="14">
        <v>5070</v>
      </c>
      <c r="E40" s="17">
        <f>132+141+169+158</f>
        <v>600</v>
      </c>
      <c r="F40" s="17">
        <f>140+150+159+138</f>
        <v>587</v>
      </c>
      <c r="G40" s="17">
        <f>160+159+148+175</f>
        <v>642</v>
      </c>
      <c r="H40" s="17">
        <f>154+170+141+159</f>
        <v>624</v>
      </c>
      <c r="I40" s="15">
        <f t="shared" si="0"/>
        <v>7523</v>
      </c>
    </row>
    <row r="41" spans="1:9" ht="15">
      <c r="A41" s="14">
        <f t="shared" si="1"/>
        <v>36</v>
      </c>
      <c r="B41" s="15" t="s">
        <v>135</v>
      </c>
      <c r="C41" s="16"/>
      <c r="D41" s="14">
        <v>4800</v>
      </c>
      <c r="E41" s="15">
        <f>186+167+155+174</f>
        <v>682</v>
      </c>
      <c r="F41" s="15">
        <f>137+180+171+129</f>
        <v>617</v>
      </c>
      <c r="G41" s="15">
        <f>134+177+171+124</f>
        <v>606</v>
      </c>
      <c r="H41" s="17">
        <f>174+136+160+168</f>
        <v>638</v>
      </c>
      <c r="I41" s="15">
        <f t="shared" si="0"/>
        <v>7343</v>
      </c>
    </row>
    <row r="42" spans="1:9" ht="15">
      <c r="A42" s="14">
        <f t="shared" si="1"/>
        <v>37</v>
      </c>
      <c r="B42" s="15" t="s">
        <v>126</v>
      </c>
      <c r="C42" s="16"/>
      <c r="D42" s="14">
        <v>4950</v>
      </c>
      <c r="E42" s="17">
        <f>141+179+160+149</f>
        <v>629</v>
      </c>
      <c r="F42" s="17">
        <f>145+148+114+148</f>
        <v>555</v>
      </c>
      <c r="G42" s="17">
        <f>145+105+128+154</f>
        <v>532</v>
      </c>
      <c r="H42" s="17">
        <f>134+147+175+184</f>
        <v>640</v>
      </c>
      <c r="I42" s="15">
        <f t="shared" si="0"/>
        <v>7306</v>
      </c>
    </row>
    <row r="43" spans="1:9" ht="15">
      <c r="A43" s="14">
        <f t="shared" si="1"/>
        <v>38</v>
      </c>
      <c r="B43" s="15" t="s">
        <v>612</v>
      </c>
      <c r="C43" s="16"/>
      <c r="D43" s="14">
        <v>4572</v>
      </c>
      <c r="E43" s="17">
        <f>159+154+149+170</f>
        <v>632</v>
      </c>
      <c r="F43" s="17">
        <f>148+133+190+139</f>
        <v>610</v>
      </c>
      <c r="G43" s="17">
        <f>119+143+155+161</f>
        <v>578</v>
      </c>
      <c r="H43" s="17">
        <f>161+153+161+123</f>
        <v>598</v>
      </c>
      <c r="I43" s="15">
        <f t="shared" si="0"/>
        <v>6990</v>
      </c>
    </row>
    <row r="44" spans="1:9" ht="15">
      <c r="A44" s="14">
        <f t="shared" si="1"/>
        <v>39</v>
      </c>
      <c r="B44" s="15" t="s">
        <v>172</v>
      </c>
      <c r="C44" s="16"/>
      <c r="D44" s="14">
        <v>4416</v>
      </c>
      <c r="E44" s="17">
        <f>154+141+148+170</f>
        <v>613</v>
      </c>
      <c r="F44" s="17">
        <f>126+191+149+116</f>
        <v>582</v>
      </c>
      <c r="G44" s="17">
        <f>125+143+161+137</f>
        <v>566</v>
      </c>
      <c r="H44" s="17">
        <f>182+108+153+175</f>
        <v>618</v>
      </c>
      <c r="I44" s="15">
        <f t="shared" si="0"/>
        <v>6795</v>
      </c>
    </row>
    <row r="45" spans="1:9" ht="15">
      <c r="A45" s="14">
        <f t="shared" si="1"/>
        <v>40</v>
      </c>
      <c r="B45" s="15" t="s">
        <v>271</v>
      </c>
      <c r="C45" s="16"/>
      <c r="D45" s="14">
        <v>4382</v>
      </c>
      <c r="E45" s="17">
        <f>156+144+142+130</f>
        <v>572</v>
      </c>
      <c r="F45" s="17">
        <f>103+173+146+170</f>
        <v>592</v>
      </c>
      <c r="G45" s="17">
        <f>159+188+173+125</f>
        <v>645</v>
      </c>
      <c r="H45" s="17">
        <f>124+166+167+142</f>
        <v>599</v>
      </c>
      <c r="I45" s="15">
        <f t="shared" si="0"/>
        <v>6790</v>
      </c>
    </row>
    <row r="46" spans="1:9" ht="15">
      <c r="A46" s="14">
        <f t="shared" si="1"/>
        <v>41</v>
      </c>
      <c r="B46" s="15" t="s">
        <v>263</v>
      </c>
      <c r="C46" s="16"/>
      <c r="D46" s="14">
        <v>4437</v>
      </c>
      <c r="E46" s="17">
        <f>113+127+115+161</f>
        <v>516</v>
      </c>
      <c r="F46" s="17">
        <f>113+119+133+136</f>
        <v>501</v>
      </c>
      <c r="G46" s="17">
        <f>98+145+200+155</f>
        <v>598</v>
      </c>
      <c r="H46" s="17">
        <f>148+127+181+149</f>
        <v>605</v>
      </c>
      <c r="I46" s="15">
        <f t="shared" si="0"/>
        <v>6657</v>
      </c>
    </row>
    <row r="47" spans="1:9" ht="15">
      <c r="A47" s="14">
        <f t="shared" si="1"/>
        <v>42</v>
      </c>
      <c r="B47" s="15" t="s">
        <v>246</v>
      </c>
      <c r="C47" s="16"/>
      <c r="D47" s="14">
        <v>4256</v>
      </c>
      <c r="E47" s="17">
        <f>154+178+114+138</f>
        <v>584</v>
      </c>
      <c r="F47" s="17">
        <f>125+133+153+173</f>
        <v>584</v>
      </c>
      <c r="G47" s="17">
        <f>150+130+162+106</f>
        <v>548</v>
      </c>
      <c r="H47" s="17">
        <f>128+156+146+123</f>
        <v>553</v>
      </c>
      <c r="I47" s="15">
        <f t="shared" si="0"/>
        <v>6525</v>
      </c>
    </row>
    <row r="48" spans="1:9" ht="15">
      <c r="A48" s="14">
        <f t="shared" si="1"/>
        <v>43</v>
      </c>
      <c r="B48" s="15" t="s">
        <v>26</v>
      </c>
      <c r="C48" s="16"/>
      <c r="D48" s="14">
        <v>4146</v>
      </c>
      <c r="E48" s="17">
        <f>170+130+143+138</f>
        <v>581</v>
      </c>
      <c r="F48" s="17">
        <f>126+175+128+129</f>
        <v>558</v>
      </c>
      <c r="G48" s="17">
        <f>104+121+131+129</f>
        <v>485</v>
      </c>
      <c r="H48" s="17">
        <f>115+126+159+141</f>
        <v>541</v>
      </c>
      <c r="I48" s="15">
        <f t="shared" si="0"/>
        <v>6311</v>
      </c>
    </row>
    <row r="49" spans="1:9" ht="15">
      <c r="A49" s="14">
        <f t="shared" si="1"/>
        <v>44</v>
      </c>
      <c r="B49" s="15" t="s">
        <v>207</v>
      </c>
      <c r="C49" s="16"/>
      <c r="D49" s="14">
        <v>3711</v>
      </c>
      <c r="E49" s="17">
        <f>150+164+140+108</f>
        <v>562</v>
      </c>
      <c r="F49" s="17">
        <f>135+130+128+196</f>
        <v>589</v>
      </c>
      <c r="G49" s="17">
        <f>139+116+111+108</f>
        <v>474</v>
      </c>
      <c r="H49" s="17">
        <f>160+129+130+119</f>
        <v>538</v>
      </c>
      <c r="I49" s="15">
        <f t="shared" si="0"/>
        <v>5874</v>
      </c>
    </row>
  </sheetData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workbookViewId="0" topLeftCell="A30">
      <selection activeCell="A1" sqref="A1:XFD1048576"/>
    </sheetView>
  </sheetViews>
  <sheetFormatPr defaultColWidth="9.140625" defaultRowHeight="15"/>
  <cols>
    <col min="1" max="1" width="7.57421875" style="19" bestFit="1" customWidth="1"/>
    <col min="2" max="2" width="62.28125" style="20" bestFit="1" customWidth="1"/>
    <col min="3" max="3" width="20.8515625" style="20" bestFit="1" customWidth="1"/>
    <col min="4" max="4" width="20.8515625" style="20" customWidth="1"/>
    <col min="5" max="8" width="12.28125" style="39" bestFit="1" customWidth="1"/>
    <col min="9" max="9" width="13.421875" style="19" bestFit="1" customWidth="1"/>
    <col min="10" max="256" width="9.140625" style="19" customWidth="1"/>
    <col min="257" max="257" width="7.57421875" style="19" bestFit="1" customWidth="1"/>
    <col min="258" max="258" width="62.28125" style="19" bestFit="1" customWidth="1"/>
    <col min="259" max="259" width="20.8515625" style="19" bestFit="1" customWidth="1"/>
    <col min="260" max="260" width="20.8515625" style="19" customWidth="1"/>
    <col min="261" max="264" width="12.28125" style="19" bestFit="1" customWidth="1"/>
    <col min="265" max="265" width="13.421875" style="19" bestFit="1" customWidth="1"/>
    <col min="266" max="512" width="9.140625" style="19" customWidth="1"/>
    <col min="513" max="513" width="7.57421875" style="19" bestFit="1" customWidth="1"/>
    <col min="514" max="514" width="62.28125" style="19" bestFit="1" customWidth="1"/>
    <col min="515" max="515" width="20.8515625" style="19" bestFit="1" customWidth="1"/>
    <col min="516" max="516" width="20.8515625" style="19" customWidth="1"/>
    <col min="517" max="520" width="12.28125" style="19" bestFit="1" customWidth="1"/>
    <col min="521" max="521" width="13.421875" style="19" bestFit="1" customWidth="1"/>
    <col min="522" max="768" width="9.140625" style="19" customWidth="1"/>
    <col min="769" max="769" width="7.57421875" style="19" bestFit="1" customWidth="1"/>
    <col min="770" max="770" width="62.28125" style="19" bestFit="1" customWidth="1"/>
    <col min="771" max="771" width="20.8515625" style="19" bestFit="1" customWidth="1"/>
    <col min="772" max="772" width="20.8515625" style="19" customWidth="1"/>
    <col min="773" max="776" width="12.28125" style="19" bestFit="1" customWidth="1"/>
    <col min="777" max="777" width="13.421875" style="19" bestFit="1" customWidth="1"/>
    <col min="778" max="1024" width="9.140625" style="19" customWidth="1"/>
    <col min="1025" max="1025" width="7.57421875" style="19" bestFit="1" customWidth="1"/>
    <col min="1026" max="1026" width="62.28125" style="19" bestFit="1" customWidth="1"/>
    <col min="1027" max="1027" width="20.8515625" style="19" bestFit="1" customWidth="1"/>
    <col min="1028" max="1028" width="20.8515625" style="19" customWidth="1"/>
    <col min="1029" max="1032" width="12.28125" style="19" bestFit="1" customWidth="1"/>
    <col min="1033" max="1033" width="13.421875" style="19" bestFit="1" customWidth="1"/>
    <col min="1034" max="1280" width="9.140625" style="19" customWidth="1"/>
    <col min="1281" max="1281" width="7.57421875" style="19" bestFit="1" customWidth="1"/>
    <col min="1282" max="1282" width="62.28125" style="19" bestFit="1" customWidth="1"/>
    <col min="1283" max="1283" width="20.8515625" style="19" bestFit="1" customWidth="1"/>
    <col min="1284" max="1284" width="20.8515625" style="19" customWidth="1"/>
    <col min="1285" max="1288" width="12.28125" style="19" bestFit="1" customWidth="1"/>
    <col min="1289" max="1289" width="13.421875" style="19" bestFit="1" customWidth="1"/>
    <col min="1290" max="1536" width="9.140625" style="19" customWidth="1"/>
    <col min="1537" max="1537" width="7.57421875" style="19" bestFit="1" customWidth="1"/>
    <col min="1538" max="1538" width="62.28125" style="19" bestFit="1" customWidth="1"/>
    <col min="1539" max="1539" width="20.8515625" style="19" bestFit="1" customWidth="1"/>
    <col min="1540" max="1540" width="20.8515625" style="19" customWidth="1"/>
    <col min="1541" max="1544" width="12.28125" style="19" bestFit="1" customWidth="1"/>
    <col min="1545" max="1545" width="13.421875" style="19" bestFit="1" customWidth="1"/>
    <col min="1546" max="1792" width="9.140625" style="19" customWidth="1"/>
    <col min="1793" max="1793" width="7.57421875" style="19" bestFit="1" customWidth="1"/>
    <col min="1794" max="1794" width="62.28125" style="19" bestFit="1" customWidth="1"/>
    <col min="1795" max="1795" width="20.8515625" style="19" bestFit="1" customWidth="1"/>
    <col min="1796" max="1796" width="20.8515625" style="19" customWidth="1"/>
    <col min="1797" max="1800" width="12.28125" style="19" bestFit="1" customWidth="1"/>
    <col min="1801" max="1801" width="13.421875" style="19" bestFit="1" customWidth="1"/>
    <col min="1802" max="2048" width="9.140625" style="19" customWidth="1"/>
    <col min="2049" max="2049" width="7.57421875" style="19" bestFit="1" customWidth="1"/>
    <col min="2050" max="2050" width="62.28125" style="19" bestFit="1" customWidth="1"/>
    <col min="2051" max="2051" width="20.8515625" style="19" bestFit="1" customWidth="1"/>
    <col min="2052" max="2052" width="20.8515625" style="19" customWidth="1"/>
    <col min="2053" max="2056" width="12.28125" style="19" bestFit="1" customWidth="1"/>
    <col min="2057" max="2057" width="13.421875" style="19" bestFit="1" customWidth="1"/>
    <col min="2058" max="2304" width="9.140625" style="19" customWidth="1"/>
    <col min="2305" max="2305" width="7.57421875" style="19" bestFit="1" customWidth="1"/>
    <col min="2306" max="2306" width="62.28125" style="19" bestFit="1" customWidth="1"/>
    <col min="2307" max="2307" width="20.8515625" style="19" bestFit="1" customWidth="1"/>
    <col min="2308" max="2308" width="20.8515625" style="19" customWidth="1"/>
    <col min="2309" max="2312" width="12.28125" style="19" bestFit="1" customWidth="1"/>
    <col min="2313" max="2313" width="13.421875" style="19" bestFit="1" customWidth="1"/>
    <col min="2314" max="2560" width="9.140625" style="19" customWidth="1"/>
    <col min="2561" max="2561" width="7.57421875" style="19" bestFit="1" customWidth="1"/>
    <col min="2562" max="2562" width="62.28125" style="19" bestFit="1" customWidth="1"/>
    <col min="2563" max="2563" width="20.8515625" style="19" bestFit="1" customWidth="1"/>
    <col min="2564" max="2564" width="20.8515625" style="19" customWidth="1"/>
    <col min="2565" max="2568" width="12.28125" style="19" bestFit="1" customWidth="1"/>
    <col min="2569" max="2569" width="13.421875" style="19" bestFit="1" customWidth="1"/>
    <col min="2570" max="2816" width="9.140625" style="19" customWidth="1"/>
    <col min="2817" max="2817" width="7.57421875" style="19" bestFit="1" customWidth="1"/>
    <col min="2818" max="2818" width="62.28125" style="19" bestFit="1" customWidth="1"/>
    <col min="2819" max="2819" width="20.8515625" style="19" bestFit="1" customWidth="1"/>
    <col min="2820" max="2820" width="20.8515625" style="19" customWidth="1"/>
    <col min="2821" max="2824" width="12.28125" style="19" bestFit="1" customWidth="1"/>
    <col min="2825" max="2825" width="13.421875" style="19" bestFit="1" customWidth="1"/>
    <col min="2826" max="3072" width="9.140625" style="19" customWidth="1"/>
    <col min="3073" max="3073" width="7.57421875" style="19" bestFit="1" customWidth="1"/>
    <col min="3074" max="3074" width="62.28125" style="19" bestFit="1" customWidth="1"/>
    <col min="3075" max="3075" width="20.8515625" style="19" bestFit="1" customWidth="1"/>
    <col min="3076" max="3076" width="20.8515625" style="19" customWidth="1"/>
    <col min="3077" max="3080" width="12.28125" style="19" bestFit="1" customWidth="1"/>
    <col min="3081" max="3081" width="13.421875" style="19" bestFit="1" customWidth="1"/>
    <col min="3082" max="3328" width="9.140625" style="19" customWidth="1"/>
    <col min="3329" max="3329" width="7.57421875" style="19" bestFit="1" customWidth="1"/>
    <col min="3330" max="3330" width="62.28125" style="19" bestFit="1" customWidth="1"/>
    <col min="3331" max="3331" width="20.8515625" style="19" bestFit="1" customWidth="1"/>
    <col min="3332" max="3332" width="20.8515625" style="19" customWidth="1"/>
    <col min="3333" max="3336" width="12.28125" style="19" bestFit="1" customWidth="1"/>
    <col min="3337" max="3337" width="13.421875" style="19" bestFit="1" customWidth="1"/>
    <col min="3338" max="3584" width="9.140625" style="19" customWidth="1"/>
    <col min="3585" max="3585" width="7.57421875" style="19" bestFit="1" customWidth="1"/>
    <col min="3586" max="3586" width="62.28125" style="19" bestFit="1" customWidth="1"/>
    <col min="3587" max="3587" width="20.8515625" style="19" bestFit="1" customWidth="1"/>
    <col min="3588" max="3588" width="20.8515625" style="19" customWidth="1"/>
    <col min="3589" max="3592" width="12.28125" style="19" bestFit="1" customWidth="1"/>
    <col min="3593" max="3593" width="13.421875" style="19" bestFit="1" customWidth="1"/>
    <col min="3594" max="3840" width="9.140625" style="19" customWidth="1"/>
    <col min="3841" max="3841" width="7.57421875" style="19" bestFit="1" customWidth="1"/>
    <col min="3842" max="3842" width="62.28125" style="19" bestFit="1" customWidth="1"/>
    <col min="3843" max="3843" width="20.8515625" style="19" bestFit="1" customWidth="1"/>
    <col min="3844" max="3844" width="20.8515625" style="19" customWidth="1"/>
    <col min="3845" max="3848" width="12.28125" style="19" bestFit="1" customWidth="1"/>
    <col min="3849" max="3849" width="13.421875" style="19" bestFit="1" customWidth="1"/>
    <col min="3850" max="4096" width="9.140625" style="19" customWidth="1"/>
    <col min="4097" max="4097" width="7.57421875" style="19" bestFit="1" customWidth="1"/>
    <col min="4098" max="4098" width="62.28125" style="19" bestFit="1" customWidth="1"/>
    <col min="4099" max="4099" width="20.8515625" style="19" bestFit="1" customWidth="1"/>
    <col min="4100" max="4100" width="20.8515625" style="19" customWidth="1"/>
    <col min="4101" max="4104" width="12.28125" style="19" bestFit="1" customWidth="1"/>
    <col min="4105" max="4105" width="13.421875" style="19" bestFit="1" customWidth="1"/>
    <col min="4106" max="4352" width="9.140625" style="19" customWidth="1"/>
    <col min="4353" max="4353" width="7.57421875" style="19" bestFit="1" customWidth="1"/>
    <col min="4354" max="4354" width="62.28125" style="19" bestFit="1" customWidth="1"/>
    <col min="4355" max="4355" width="20.8515625" style="19" bestFit="1" customWidth="1"/>
    <col min="4356" max="4356" width="20.8515625" style="19" customWidth="1"/>
    <col min="4357" max="4360" width="12.28125" style="19" bestFit="1" customWidth="1"/>
    <col min="4361" max="4361" width="13.421875" style="19" bestFit="1" customWidth="1"/>
    <col min="4362" max="4608" width="9.140625" style="19" customWidth="1"/>
    <col min="4609" max="4609" width="7.57421875" style="19" bestFit="1" customWidth="1"/>
    <col min="4610" max="4610" width="62.28125" style="19" bestFit="1" customWidth="1"/>
    <col min="4611" max="4611" width="20.8515625" style="19" bestFit="1" customWidth="1"/>
    <col min="4612" max="4612" width="20.8515625" style="19" customWidth="1"/>
    <col min="4613" max="4616" width="12.28125" style="19" bestFit="1" customWidth="1"/>
    <col min="4617" max="4617" width="13.421875" style="19" bestFit="1" customWidth="1"/>
    <col min="4618" max="4864" width="9.140625" style="19" customWidth="1"/>
    <col min="4865" max="4865" width="7.57421875" style="19" bestFit="1" customWidth="1"/>
    <col min="4866" max="4866" width="62.28125" style="19" bestFit="1" customWidth="1"/>
    <col min="4867" max="4867" width="20.8515625" style="19" bestFit="1" customWidth="1"/>
    <col min="4868" max="4868" width="20.8515625" style="19" customWidth="1"/>
    <col min="4869" max="4872" width="12.28125" style="19" bestFit="1" customWidth="1"/>
    <col min="4873" max="4873" width="13.421875" style="19" bestFit="1" customWidth="1"/>
    <col min="4874" max="5120" width="9.140625" style="19" customWidth="1"/>
    <col min="5121" max="5121" width="7.57421875" style="19" bestFit="1" customWidth="1"/>
    <col min="5122" max="5122" width="62.28125" style="19" bestFit="1" customWidth="1"/>
    <col min="5123" max="5123" width="20.8515625" style="19" bestFit="1" customWidth="1"/>
    <col min="5124" max="5124" width="20.8515625" style="19" customWidth="1"/>
    <col min="5125" max="5128" width="12.28125" style="19" bestFit="1" customWidth="1"/>
    <col min="5129" max="5129" width="13.421875" style="19" bestFit="1" customWidth="1"/>
    <col min="5130" max="5376" width="9.140625" style="19" customWidth="1"/>
    <col min="5377" max="5377" width="7.57421875" style="19" bestFit="1" customWidth="1"/>
    <col min="5378" max="5378" width="62.28125" style="19" bestFit="1" customWidth="1"/>
    <col min="5379" max="5379" width="20.8515625" style="19" bestFit="1" customWidth="1"/>
    <col min="5380" max="5380" width="20.8515625" style="19" customWidth="1"/>
    <col min="5381" max="5384" width="12.28125" style="19" bestFit="1" customWidth="1"/>
    <col min="5385" max="5385" width="13.421875" style="19" bestFit="1" customWidth="1"/>
    <col min="5386" max="5632" width="9.140625" style="19" customWidth="1"/>
    <col min="5633" max="5633" width="7.57421875" style="19" bestFit="1" customWidth="1"/>
    <col min="5634" max="5634" width="62.28125" style="19" bestFit="1" customWidth="1"/>
    <col min="5635" max="5635" width="20.8515625" style="19" bestFit="1" customWidth="1"/>
    <col min="5636" max="5636" width="20.8515625" style="19" customWidth="1"/>
    <col min="5637" max="5640" width="12.28125" style="19" bestFit="1" customWidth="1"/>
    <col min="5641" max="5641" width="13.421875" style="19" bestFit="1" customWidth="1"/>
    <col min="5642" max="5888" width="9.140625" style="19" customWidth="1"/>
    <col min="5889" max="5889" width="7.57421875" style="19" bestFit="1" customWidth="1"/>
    <col min="5890" max="5890" width="62.28125" style="19" bestFit="1" customWidth="1"/>
    <col min="5891" max="5891" width="20.8515625" style="19" bestFit="1" customWidth="1"/>
    <col min="5892" max="5892" width="20.8515625" style="19" customWidth="1"/>
    <col min="5893" max="5896" width="12.28125" style="19" bestFit="1" customWidth="1"/>
    <col min="5897" max="5897" width="13.421875" style="19" bestFit="1" customWidth="1"/>
    <col min="5898" max="6144" width="9.140625" style="19" customWidth="1"/>
    <col min="6145" max="6145" width="7.57421875" style="19" bestFit="1" customWidth="1"/>
    <col min="6146" max="6146" width="62.28125" style="19" bestFit="1" customWidth="1"/>
    <col min="6147" max="6147" width="20.8515625" style="19" bestFit="1" customWidth="1"/>
    <col min="6148" max="6148" width="20.8515625" style="19" customWidth="1"/>
    <col min="6149" max="6152" width="12.28125" style="19" bestFit="1" customWidth="1"/>
    <col min="6153" max="6153" width="13.421875" style="19" bestFit="1" customWidth="1"/>
    <col min="6154" max="6400" width="9.140625" style="19" customWidth="1"/>
    <col min="6401" max="6401" width="7.57421875" style="19" bestFit="1" customWidth="1"/>
    <col min="6402" max="6402" width="62.28125" style="19" bestFit="1" customWidth="1"/>
    <col min="6403" max="6403" width="20.8515625" style="19" bestFit="1" customWidth="1"/>
    <col min="6404" max="6404" width="20.8515625" style="19" customWidth="1"/>
    <col min="6405" max="6408" width="12.28125" style="19" bestFit="1" customWidth="1"/>
    <col min="6409" max="6409" width="13.421875" style="19" bestFit="1" customWidth="1"/>
    <col min="6410" max="6656" width="9.140625" style="19" customWidth="1"/>
    <col min="6657" max="6657" width="7.57421875" style="19" bestFit="1" customWidth="1"/>
    <col min="6658" max="6658" width="62.28125" style="19" bestFit="1" customWidth="1"/>
    <col min="6659" max="6659" width="20.8515625" style="19" bestFit="1" customWidth="1"/>
    <col min="6660" max="6660" width="20.8515625" style="19" customWidth="1"/>
    <col min="6661" max="6664" width="12.28125" style="19" bestFit="1" customWidth="1"/>
    <col min="6665" max="6665" width="13.421875" style="19" bestFit="1" customWidth="1"/>
    <col min="6666" max="6912" width="9.140625" style="19" customWidth="1"/>
    <col min="6913" max="6913" width="7.57421875" style="19" bestFit="1" customWidth="1"/>
    <col min="6914" max="6914" width="62.28125" style="19" bestFit="1" customWidth="1"/>
    <col min="6915" max="6915" width="20.8515625" style="19" bestFit="1" customWidth="1"/>
    <col min="6916" max="6916" width="20.8515625" style="19" customWidth="1"/>
    <col min="6917" max="6920" width="12.28125" style="19" bestFit="1" customWidth="1"/>
    <col min="6921" max="6921" width="13.421875" style="19" bestFit="1" customWidth="1"/>
    <col min="6922" max="7168" width="9.140625" style="19" customWidth="1"/>
    <col min="7169" max="7169" width="7.57421875" style="19" bestFit="1" customWidth="1"/>
    <col min="7170" max="7170" width="62.28125" style="19" bestFit="1" customWidth="1"/>
    <col min="7171" max="7171" width="20.8515625" style="19" bestFit="1" customWidth="1"/>
    <col min="7172" max="7172" width="20.8515625" style="19" customWidth="1"/>
    <col min="7173" max="7176" width="12.28125" style="19" bestFit="1" customWidth="1"/>
    <col min="7177" max="7177" width="13.421875" style="19" bestFit="1" customWidth="1"/>
    <col min="7178" max="7424" width="9.140625" style="19" customWidth="1"/>
    <col min="7425" max="7425" width="7.57421875" style="19" bestFit="1" customWidth="1"/>
    <col min="7426" max="7426" width="62.28125" style="19" bestFit="1" customWidth="1"/>
    <col min="7427" max="7427" width="20.8515625" style="19" bestFit="1" customWidth="1"/>
    <col min="7428" max="7428" width="20.8515625" style="19" customWidth="1"/>
    <col min="7429" max="7432" width="12.28125" style="19" bestFit="1" customWidth="1"/>
    <col min="7433" max="7433" width="13.421875" style="19" bestFit="1" customWidth="1"/>
    <col min="7434" max="7680" width="9.140625" style="19" customWidth="1"/>
    <col min="7681" max="7681" width="7.57421875" style="19" bestFit="1" customWidth="1"/>
    <col min="7682" max="7682" width="62.28125" style="19" bestFit="1" customWidth="1"/>
    <col min="7683" max="7683" width="20.8515625" style="19" bestFit="1" customWidth="1"/>
    <col min="7684" max="7684" width="20.8515625" style="19" customWidth="1"/>
    <col min="7685" max="7688" width="12.28125" style="19" bestFit="1" customWidth="1"/>
    <col min="7689" max="7689" width="13.421875" style="19" bestFit="1" customWidth="1"/>
    <col min="7690" max="7936" width="9.140625" style="19" customWidth="1"/>
    <col min="7937" max="7937" width="7.57421875" style="19" bestFit="1" customWidth="1"/>
    <col min="7938" max="7938" width="62.28125" style="19" bestFit="1" customWidth="1"/>
    <col min="7939" max="7939" width="20.8515625" style="19" bestFit="1" customWidth="1"/>
    <col min="7940" max="7940" width="20.8515625" style="19" customWidth="1"/>
    <col min="7941" max="7944" width="12.28125" style="19" bestFit="1" customWidth="1"/>
    <col min="7945" max="7945" width="13.421875" style="19" bestFit="1" customWidth="1"/>
    <col min="7946" max="8192" width="9.140625" style="19" customWidth="1"/>
    <col min="8193" max="8193" width="7.57421875" style="19" bestFit="1" customWidth="1"/>
    <col min="8194" max="8194" width="62.28125" style="19" bestFit="1" customWidth="1"/>
    <col min="8195" max="8195" width="20.8515625" style="19" bestFit="1" customWidth="1"/>
    <col min="8196" max="8196" width="20.8515625" style="19" customWidth="1"/>
    <col min="8197" max="8200" width="12.28125" style="19" bestFit="1" customWidth="1"/>
    <col min="8201" max="8201" width="13.421875" style="19" bestFit="1" customWidth="1"/>
    <col min="8202" max="8448" width="9.140625" style="19" customWidth="1"/>
    <col min="8449" max="8449" width="7.57421875" style="19" bestFit="1" customWidth="1"/>
    <col min="8450" max="8450" width="62.28125" style="19" bestFit="1" customWidth="1"/>
    <col min="8451" max="8451" width="20.8515625" style="19" bestFit="1" customWidth="1"/>
    <col min="8452" max="8452" width="20.8515625" style="19" customWidth="1"/>
    <col min="8453" max="8456" width="12.28125" style="19" bestFit="1" customWidth="1"/>
    <col min="8457" max="8457" width="13.421875" style="19" bestFit="1" customWidth="1"/>
    <col min="8458" max="8704" width="9.140625" style="19" customWidth="1"/>
    <col min="8705" max="8705" width="7.57421875" style="19" bestFit="1" customWidth="1"/>
    <col min="8706" max="8706" width="62.28125" style="19" bestFit="1" customWidth="1"/>
    <col min="8707" max="8707" width="20.8515625" style="19" bestFit="1" customWidth="1"/>
    <col min="8708" max="8708" width="20.8515625" style="19" customWidth="1"/>
    <col min="8709" max="8712" width="12.28125" style="19" bestFit="1" customWidth="1"/>
    <col min="8713" max="8713" width="13.421875" style="19" bestFit="1" customWidth="1"/>
    <col min="8714" max="8960" width="9.140625" style="19" customWidth="1"/>
    <col min="8961" max="8961" width="7.57421875" style="19" bestFit="1" customWidth="1"/>
    <col min="8962" max="8962" width="62.28125" style="19" bestFit="1" customWidth="1"/>
    <col min="8963" max="8963" width="20.8515625" style="19" bestFit="1" customWidth="1"/>
    <col min="8964" max="8964" width="20.8515625" style="19" customWidth="1"/>
    <col min="8965" max="8968" width="12.28125" style="19" bestFit="1" customWidth="1"/>
    <col min="8969" max="8969" width="13.421875" style="19" bestFit="1" customWidth="1"/>
    <col min="8970" max="9216" width="9.140625" style="19" customWidth="1"/>
    <col min="9217" max="9217" width="7.57421875" style="19" bestFit="1" customWidth="1"/>
    <col min="9218" max="9218" width="62.28125" style="19" bestFit="1" customWidth="1"/>
    <col min="9219" max="9219" width="20.8515625" style="19" bestFit="1" customWidth="1"/>
    <col min="9220" max="9220" width="20.8515625" style="19" customWidth="1"/>
    <col min="9221" max="9224" width="12.28125" style="19" bestFit="1" customWidth="1"/>
    <col min="9225" max="9225" width="13.421875" style="19" bestFit="1" customWidth="1"/>
    <col min="9226" max="9472" width="9.140625" style="19" customWidth="1"/>
    <col min="9473" max="9473" width="7.57421875" style="19" bestFit="1" customWidth="1"/>
    <col min="9474" max="9474" width="62.28125" style="19" bestFit="1" customWidth="1"/>
    <col min="9475" max="9475" width="20.8515625" style="19" bestFit="1" customWidth="1"/>
    <col min="9476" max="9476" width="20.8515625" style="19" customWidth="1"/>
    <col min="9477" max="9480" width="12.28125" style="19" bestFit="1" customWidth="1"/>
    <col min="9481" max="9481" width="13.421875" style="19" bestFit="1" customWidth="1"/>
    <col min="9482" max="9728" width="9.140625" style="19" customWidth="1"/>
    <col min="9729" max="9729" width="7.57421875" style="19" bestFit="1" customWidth="1"/>
    <col min="9730" max="9730" width="62.28125" style="19" bestFit="1" customWidth="1"/>
    <col min="9731" max="9731" width="20.8515625" style="19" bestFit="1" customWidth="1"/>
    <col min="9732" max="9732" width="20.8515625" style="19" customWidth="1"/>
    <col min="9733" max="9736" width="12.28125" style="19" bestFit="1" customWidth="1"/>
    <col min="9737" max="9737" width="13.421875" style="19" bestFit="1" customWidth="1"/>
    <col min="9738" max="9984" width="9.140625" style="19" customWidth="1"/>
    <col min="9985" max="9985" width="7.57421875" style="19" bestFit="1" customWidth="1"/>
    <col min="9986" max="9986" width="62.28125" style="19" bestFit="1" customWidth="1"/>
    <col min="9987" max="9987" width="20.8515625" style="19" bestFit="1" customWidth="1"/>
    <col min="9988" max="9988" width="20.8515625" style="19" customWidth="1"/>
    <col min="9989" max="9992" width="12.28125" style="19" bestFit="1" customWidth="1"/>
    <col min="9993" max="9993" width="13.421875" style="19" bestFit="1" customWidth="1"/>
    <col min="9994" max="10240" width="9.140625" style="19" customWidth="1"/>
    <col min="10241" max="10241" width="7.57421875" style="19" bestFit="1" customWidth="1"/>
    <col min="10242" max="10242" width="62.28125" style="19" bestFit="1" customWidth="1"/>
    <col min="10243" max="10243" width="20.8515625" style="19" bestFit="1" customWidth="1"/>
    <col min="10244" max="10244" width="20.8515625" style="19" customWidth="1"/>
    <col min="10245" max="10248" width="12.28125" style="19" bestFit="1" customWidth="1"/>
    <col min="10249" max="10249" width="13.421875" style="19" bestFit="1" customWidth="1"/>
    <col min="10250" max="10496" width="9.140625" style="19" customWidth="1"/>
    <col min="10497" max="10497" width="7.57421875" style="19" bestFit="1" customWidth="1"/>
    <col min="10498" max="10498" width="62.28125" style="19" bestFit="1" customWidth="1"/>
    <col min="10499" max="10499" width="20.8515625" style="19" bestFit="1" customWidth="1"/>
    <col min="10500" max="10500" width="20.8515625" style="19" customWidth="1"/>
    <col min="10501" max="10504" width="12.28125" style="19" bestFit="1" customWidth="1"/>
    <col min="10505" max="10505" width="13.421875" style="19" bestFit="1" customWidth="1"/>
    <col min="10506" max="10752" width="9.140625" style="19" customWidth="1"/>
    <col min="10753" max="10753" width="7.57421875" style="19" bestFit="1" customWidth="1"/>
    <col min="10754" max="10754" width="62.28125" style="19" bestFit="1" customWidth="1"/>
    <col min="10755" max="10755" width="20.8515625" style="19" bestFit="1" customWidth="1"/>
    <col min="10756" max="10756" width="20.8515625" style="19" customWidth="1"/>
    <col min="10757" max="10760" width="12.28125" style="19" bestFit="1" customWidth="1"/>
    <col min="10761" max="10761" width="13.421875" style="19" bestFit="1" customWidth="1"/>
    <col min="10762" max="11008" width="9.140625" style="19" customWidth="1"/>
    <col min="11009" max="11009" width="7.57421875" style="19" bestFit="1" customWidth="1"/>
    <col min="11010" max="11010" width="62.28125" style="19" bestFit="1" customWidth="1"/>
    <col min="11011" max="11011" width="20.8515625" style="19" bestFit="1" customWidth="1"/>
    <col min="11012" max="11012" width="20.8515625" style="19" customWidth="1"/>
    <col min="11013" max="11016" width="12.28125" style="19" bestFit="1" customWidth="1"/>
    <col min="11017" max="11017" width="13.421875" style="19" bestFit="1" customWidth="1"/>
    <col min="11018" max="11264" width="9.140625" style="19" customWidth="1"/>
    <col min="11265" max="11265" width="7.57421875" style="19" bestFit="1" customWidth="1"/>
    <col min="11266" max="11266" width="62.28125" style="19" bestFit="1" customWidth="1"/>
    <col min="11267" max="11267" width="20.8515625" style="19" bestFit="1" customWidth="1"/>
    <col min="11268" max="11268" width="20.8515625" style="19" customWidth="1"/>
    <col min="11269" max="11272" width="12.28125" style="19" bestFit="1" customWidth="1"/>
    <col min="11273" max="11273" width="13.421875" style="19" bestFit="1" customWidth="1"/>
    <col min="11274" max="11520" width="9.140625" style="19" customWidth="1"/>
    <col min="11521" max="11521" width="7.57421875" style="19" bestFit="1" customWidth="1"/>
    <col min="11522" max="11522" width="62.28125" style="19" bestFit="1" customWidth="1"/>
    <col min="11523" max="11523" width="20.8515625" style="19" bestFit="1" customWidth="1"/>
    <col min="11524" max="11524" width="20.8515625" style="19" customWidth="1"/>
    <col min="11525" max="11528" width="12.28125" style="19" bestFit="1" customWidth="1"/>
    <col min="11529" max="11529" width="13.421875" style="19" bestFit="1" customWidth="1"/>
    <col min="11530" max="11776" width="9.140625" style="19" customWidth="1"/>
    <col min="11777" max="11777" width="7.57421875" style="19" bestFit="1" customWidth="1"/>
    <col min="11778" max="11778" width="62.28125" style="19" bestFit="1" customWidth="1"/>
    <col min="11779" max="11779" width="20.8515625" style="19" bestFit="1" customWidth="1"/>
    <col min="11780" max="11780" width="20.8515625" style="19" customWidth="1"/>
    <col min="11781" max="11784" width="12.28125" style="19" bestFit="1" customWidth="1"/>
    <col min="11785" max="11785" width="13.421875" style="19" bestFit="1" customWidth="1"/>
    <col min="11786" max="12032" width="9.140625" style="19" customWidth="1"/>
    <col min="12033" max="12033" width="7.57421875" style="19" bestFit="1" customWidth="1"/>
    <col min="12034" max="12034" width="62.28125" style="19" bestFit="1" customWidth="1"/>
    <col min="12035" max="12035" width="20.8515625" style="19" bestFit="1" customWidth="1"/>
    <col min="12036" max="12036" width="20.8515625" style="19" customWidth="1"/>
    <col min="12037" max="12040" width="12.28125" style="19" bestFit="1" customWidth="1"/>
    <col min="12041" max="12041" width="13.421875" style="19" bestFit="1" customWidth="1"/>
    <col min="12042" max="12288" width="9.140625" style="19" customWidth="1"/>
    <col min="12289" max="12289" width="7.57421875" style="19" bestFit="1" customWidth="1"/>
    <col min="12290" max="12290" width="62.28125" style="19" bestFit="1" customWidth="1"/>
    <col min="12291" max="12291" width="20.8515625" style="19" bestFit="1" customWidth="1"/>
    <col min="12292" max="12292" width="20.8515625" style="19" customWidth="1"/>
    <col min="12293" max="12296" width="12.28125" style="19" bestFit="1" customWidth="1"/>
    <col min="12297" max="12297" width="13.421875" style="19" bestFit="1" customWidth="1"/>
    <col min="12298" max="12544" width="9.140625" style="19" customWidth="1"/>
    <col min="12545" max="12545" width="7.57421875" style="19" bestFit="1" customWidth="1"/>
    <col min="12546" max="12546" width="62.28125" style="19" bestFit="1" customWidth="1"/>
    <col min="12547" max="12547" width="20.8515625" style="19" bestFit="1" customWidth="1"/>
    <col min="12548" max="12548" width="20.8515625" style="19" customWidth="1"/>
    <col min="12549" max="12552" width="12.28125" style="19" bestFit="1" customWidth="1"/>
    <col min="12553" max="12553" width="13.421875" style="19" bestFit="1" customWidth="1"/>
    <col min="12554" max="12800" width="9.140625" style="19" customWidth="1"/>
    <col min="12801" max="12801" width="7.57421875" style="19" bestFit="1" customWidth="1"/>
    <col min="12802" max="12802" width="62.28125" style="19" bestFit="1" customWidth="1"/>
    <col min="12803" max="12803" width="20.8515625" style="19" bestFit="1" customWidth="1"/>
    <col min="12804" max="12804" width="20.8515625" style="19" customWidth="1"/>
    <col min="12805" max="12808" width="12.28125" style="19" bestFit="1" customWidth="1"/>
    <col min="12809" max="12809" width="13.421875" style="19" bestFit="1" customWidth="1"/>
    <col min="12810" max="13056" width="9.140625" style="19" customWidth="1"/>
    <col min="13057" max="13057" width="7.57421875" style="19" bestFit="1" customWidth="1"/>
    <col min="13058" max="13058" width="62.28125" style="19" bestFit="1" customWidth="1"/>
    <col min="13059" max="13059" width="20.8515625" style="19" bestFit="1" customWidth="1"/>
    <col min="13060" max="13060" width="20.8515625" style="19" customWidth="1"/>
    <col min="13061" max="13064" width="12.28125" style="19" bestFit="1" customWidth="1"/>
    <col min="13065" max="13065" width="13.421875" style="19" bestFit="1" customWidth="1"/>
    <col min="13066" max="13312" width="9.140625" style="19" customWidth="1"/>
    <col min="13313" max="13313" width="7.57421875" style="19" bestFit="1" customWidth="1"/>
    <col min="13314" max="13314" width="62.28125" style="19" bestFit="1" customWidth="1"/>
    <col min="13315" max="13315" width="20.8515625" style="19" bestFit="1" customWidth="1"/>
    <col min="13316" max="13316" width="20.8515625" style="19" customWidth="1"/>
    <col min="13317" max="13320" width="12.28125" style="19" bestFit="1" customWidth="1"/>
    <col min="13321" max="13321" width="13.421875" style="19" bestFit="1" customWidth="1"/>
    <col min="13322" max="13568" width="9.140625" style="19" customWidth="1"/>
    <col min="13569" max="13569" width="7.57421875" style="19" bestFit="1" customWidth="1"/>
    <col min="13570" max="13570" width="62.28125" style="19" bestFit="1" customWidth="1"/>
    <col min="13571" max="13571" width="20.8515625" style="19" bestFit="1" customWidth="1"/>
    <col min="13572" max="13572" width="20.8515625" style="19" customWidth="1"/>
    <col min="13573" max="13576" width="12.28125" style="19" bestFit="1" customWidth="1"/>
    <col min="13577" max="13577" width="13.421875" style="19" bestFit="1" customWidth="1"/>
    <col min="13578" max="13824" width="9.140625" style="19" customWidth="1"/>
    <col min="13825" max="13825" width="7.57421875" style="19" bestFit="1" customWidth="1"/>
    <col min="13826" max="13826" width="62.28125" style="19" bestFit="1" customWidth="1"/>
    <col min="13827" max="13827" width="20.8515625" style="19" bestFit="1" customWidth="1"/>
    <col min="13828" max="13828" width="20.8515625" style="19" customWidth="1"/>
    <col min="13829" max="13832" width="12.28125" style="19" bestFit="1" customWidth="1"/>
    <col min="13833" max="13833" width="13.421875" style="19" bestFit="1" customWidth="1"/>
    <col min="13834" max="14080" width="9.140625" style="19" customWidth="1"/>
    <col min="14081" max="14081" width="7.57421875" style="19" bestFit="1" customWidth="1"/>
    <col min="14082" max="14082" width="62.28125" style="19" bestFit="1" customWidth="1"/>
    <col min="14083" max="14083" width="20.8515625" style="19" bestFit="1" customWidth="1"/>
    <col min="14084" max="14084" width="20.8515625" style="19" customWidth="1"/>
    <col min="14085" max="14088" width="12.28125" style="19" bestFit="1" customWidth="1"/>
    <col min="14089" max="14089" width="13.421875" style="19" bestFit="1" customWidth="1"/>
    <col min="14090" max="14336" width="9.140625" style="19" customWidth="1"/>
    <col min="14337" max="14337" width="7.57421875" style="19" bestFit="1" customWidth="1"/>
    <col min="14338" max="14338" width="62.28125" style="19" bestFit="1" customWidth="1"/>
    <col min="14339" max="14339" width="20.8515625" style="19" bestFit="1" customWidth="1"/>
    <col min="14340" max="14340" width="20.8515625" style="19" customWidth="1"/>
    <col min="14341" max="14344" width="12.28125" style="19" bestFit="1" customWidth="1"/>
    <col min="14345" max="14345" width="13.421875" style="19" bestFit="1" customWidth="1"/>
    <col min="14346" max="14592" width="9.140625" style="19" customWidth="1"/>
    <col min="14593" max="14593" width="7.57421875" style="19" bestFit="1" customWidth="1"/>
    <col min="14594" max="14594" width="62.28125" style="19" bestFit="1" customWidth="1"/>
    <col min="14595" max="14595" width="20.8515625" style="19" bestFit="1" customWidth="1"/>
    <col min="14596" max="14596" width="20.8515625" style="19" customWidth="1"/>
    <col min="14597" max="14600" width="12.28125" style="19" bestFit="1" customWidth="1"/>
    <col min="14601" max="14601" width="13.421875" style="19" bestFit="1" customWidth="1"/>
    <col min="14602" max="14848" width="9.140625" style="19" customWidth="1"/>
    <col min="14849" max="14849" width="7.57421875" style="19" bestFit="1" customWidth="1"/>
    <col min="14850" max="14850" width="62.28125" style="19" bestFit="1" customWidth="1"/>
    <col min="14851" max="14851" width="20.8515625" style="19" bestFit="1" customWidth="1"/>
    <col min="14852" max="14852" width="20.8515625" style="19" customWidth="1"/>
    <col min="14853" max="14856" width="12.28125" style="19" bestFit="1" customWidth="1"/>
    <col min="14857" max="14857" width="13.421875" style="19" bestFit="1" customWidth="1"/>
    <col min="14858" max="15104" width="9.140625" style="19" customWidth="1"/>
    <col min="15105" max="15105" width="7.57421875" style="19" bestFit="1" customWidth="1"/>
    <col min="15106" max="15106" width="62.28125" style="19" bestFit="1" customWidth="1"/>
    <col min="15107" max="15107" width="20.8515625" style="19" bestFit="1" customWidth="1"/>
    <col min="15108" max="15108" width="20.8515625" style="19" customWidth="1"/>
    <col min="15109" max="15112" width="12.28125" style="19" bestFit="1" customWidth="1"/>
    <col min="15113" max="15113" width="13.421875" style="19" bestFit="1" customWidth="1"/>
    <col min="15114" max="15360" width="9.140625" style="19" customWidth="1"/>
    <col min="15361" max="15361" width="7.57421875" style="19" bestFit="1" customWidth="1"/>
    <col min="15362" max="15362" width="62.28125" style="19" bestFit="1" customWidth="1"/>
    <col min="15363" max="15363" width="20.8515625" style="19" bestFit="1" customWidth="1"/>
    <col min="15364" max="15364" width="20.8515625" style="19" customWidth="1"/>
    <col min="15365" max="15368" width="12.28125" style="19" bestFit="1" customWidth="1"/>
    <col min="15369" max="15369" width="13.421875" style="19" bestFit="1" customWidth="1"/>
    <col min="15370" max="15616" width="9.140625" style="19" customWidth="1"/>
    <col min="15617" max="15617" width="7.57421875" style="19" bestFit="1" customWidth="1"/>
    <col min="15618" max="15618" width="62.28125" style="19" bestFit="1" customWidth="1"/>
    <col min="15619" max="15619" width="20.8515625" style="19" bestFit="1" customWidth="1"/>
    <col min="15620" max="15620" width="20.8515625" style="19" customWidth="1"/>
    <col min="15621" max="15624" width="12.28125" style="19" bestFit="1" customWidth="1"/>
    <col min="15625" max="15625" width="13.421875" style="19" bestFit="1" customWidth="1"/>
    <col min="15626" max="15872" width="9.140625" style="19" customWidth="1"/>
    <col min="15873" max="15873" width="7.57421875" style="19" bestFit="1" customWidth="1"/>
    <col min="15874" max="15874" width="62.28125" style="19" bestFit="1" customWidth="1"/>
    <col min="15875" max="15875" width="20.8515625" style="19" bestFit="1" customWidth="1"/>
    <col min="15876" max="15876" width="20.8515625" style="19" customWidth="1"/>
    <col min="15877" max="15880" width="12.28125" style="19" bestFit="1" customWidth="1"/>
    <col min="15881" max="15881" width="13.421875" style="19" bestFit="1" customWidth="1"/>
    <col min="15882" max="16128" width="9.140625" style="19" customWidth="1"/>
    <col min="16129" max="16129" width="7.57421875" style="19" bestFit="1" customWidth="1"/>
    <col min="16130" max="16130" width="62.28125" style="19" bestFit="1" customWidth="1"/>
    <col min="16131" max="16131" width="20.8515625" style="19" bestFit="1" customWidth="1"/>
    <col min="16132" max="16132" width="20.8515625" style="19" customWidth="1"/>
    <col min="16133" max="16136" width="12.28125" style="19" bestFit="1" customWidth="1"/>
    <col min="16137" max="16137" width="13.421875" style="19" bestFit="1" customWidth="1"/>
    <col min="16138" max="16384" width="9.140625" style="19" customWidth="1"/>
  </cols>
  <sheetData>
    <row r="1" spans="1:9" ht="20.25">
      <c r="A1" s="45" t="s">
        <v>616</v>
      </c>
      <c r="B1" s="45"/>
      <c r="C1" s="45"/>
      <c r="D1" s="45"/>
      <c r="E1" s="45"/>
      <c r="F1" s="45"/>
      <c r="G1" s="45"/>
      <c r="H1" s="45"/>
      <c r="I1" s="45"/>
    </row>
    <row r="2" spans="1:9" ht="20.25">
      <c r="A2" s="46" t="s">
        <v>626</v>
      </c>
      <c r="B2" s="46"/>
      <c r="C2" s="46"/>
      <c r="D2" s="46"/>
      <c r="E2" s="46"/>
      <c r="F2" s="46"/>
      <c r="G2" s="46"/>
      <c r="H2" s="46"/>
      <c r="I2" s="46"/>
    </row>
    <row r="3" spans="5:8" ht="20.25">
      <c r="E3" s="21"/>
      <c r="F3" s="21"/>
      <c r="G3" s="21"/>
      <c r="H3" s="21"/>
    </row>
    <row r="4" spans="1:9" ht="20.25">
      <c r="A4" s="22" t="s">
        <v>618</v>
      </c>
      <c r="B4" s="23" t="s">
        <v>619</v>
      </c>
      <c r="C4" s="22"/>
      <c r="D4" s="22" t="s">
        <v>620</v>
      </c>
      <c r="E4" s="22" t="s">
        <v>621</v>
      </c>
      <c r="F4" s="22" t="s">
        <v>622</v>
      </c>
      <c r="G4" s="22" t="s">
        <v>623</v>
      </c>
      <c r="H4" s="22" t="s">
        <v>624</v>
      </c>
      <c r="I4" s="22" t="s">
        <v>625</v>
      </c>
    </row>
    <row r="5" spans="1:8" ht="21" thickBot="1">
      <c r="A5" s="24"/>
      <c r="E5" s="21"/>
      <c r="F5" s="21"/>
      <c r="G5" s="21"/>
      <c r="H5" s="21"/>
    </row>
    <row r="6" spans="1:9" ht="21" thickBot="1">
      <c r="A6" s="25">
        <v>1</v>
      </c>
      <c r="B6" s="15" t="s">
        <v>472</v>
      </c>
      <c r="C6" s="26"/>
      <c r="D6" s="14">
        <v>5433</v>
      </c>
      <c r="E6" s="27">
        <f>129+167+146+181</f>
        <v>623</v>
      </c>
      <c r="F6" s="28">
        <f>193+157+160+173</f>
        <v>683</v>
      </c>
      <c r="G6" s="28">
        <f>179+174+197+168</f>
        <v>718</v>
      </c>
      <c r="H6" s="28">
        <f>196+160+200+203</f>
        <v>759</v>
      </c>
      <c r="I6" s="29">
        <f aca="true" t="shared" si="0" ref="I6:I41">SUM(D6:H6)</f>
        <v>8216</v>
      </c>
    </row>
    <row r="7" spans="1:9" ht="21" thickBot="1">
      <c r="A7" s="30">
        <f aca="true" t="shared" si="1" ref="A7:A41">A6+1</f>
        <v>2</v>
      </c>
      <c r="B7" s="15" t="s">
        <v>144</v>
      </c>
      <c r="C7" s="26"/>
      <c r="D7" s="14">
        <v>5346</v>
      </c>
      <c r="E7" s="31">
        <f>211+147+156+220</f>
        <v>734</v>
      </c>
      <c r="F7" s="32">
        <f>191+186+159+176</f>
        <v>712</v>
      </c>
      <c r="G7" s="32">
        <f>172+159+159+167</f>
        <v>657</v>
      </c>
      <c r="H7" s="32">
        <f>204+157+150+180</f>
        <v>691</v>
      </c>
      <c r="I7" s="29">
        <f t="shared" si="0"/>
        <v>8140</v>
      </c>
    </row>
    <row r="8" spans="1:9" ht="21" thickBot="1">
      <c r="A8" s="30">
        <f t="shared" si="1"/>
        <v>3</v>
      </c>
      <c r="B8" s="15" t="s">
        <v>35</v>
      </c>
      <c r="C8" s="26"/>
      <c r="D8" s="14">
        <v>5373</v>
      </c>
      <c r="E8" s="27">
        <f>156+177+188+168</f>
        <v>689</v>
      </c>
      <c r="F8" s="28">
        <f>146+193+198+169</f>
        <v>706</v>
      </c>
      <c r="G8" s="28">
        <f>166+218+145+160</f>
        <v>689</v>
      </c>
      <c r="H8" s="28">
        <f>159+191+166+164</f>
        <v>680</v>
      </c>
      <c r="I8" s="29">
        <f t="shared" si="0"/>
        <v>8137</v>
      </c>
    </row>
    <row r="9" spans="1:9" ht="21" thickBot="1">
      <c r="A9" s="30">
        <f t="shared" si="1"/>
        <v>4</v>
      </c>
      <c r="B9" s="15" t="s">
        <v>627</v>
      </c>
      <c r="C9" s="26"/>
      <c r="D9" s="14">
        <v>5457</v>
      </c>
      <c r="E9" s="31">
        <f>200+145+200+172</f>
        <v>717</v>
      </c>
      <c r="F9" s="32">
        <f>158+156+141+167</f>
        <v>622</v>
      </c>
      <c r="G9" s="32">
        <f>137+156+172+163</f>
        <v>628</v>
      </c>
      <c r="H9" s="32">
        <f>182+189+155+175</f>
        <v>701</v>
      </c>
      <c r="I9" s="29">
        <f t="shared" si="0"/>
        <v>8125</v>
      </c>
    </row>
    <row r="10" spans="1:9" ht="21" thickBot="1">
      <c r="A10" s="30">
        <f t="shared" si="1"/>
        <v>5</v>
      </c>
      <c r="B10" s="15" t="s">
        <v>17</v>
      </c>
      <c r="C10" s="26"/>
      <c r="D10" s="14">
        <v>5282</v>
      </c>
      <c r="E10" s="27">
        <f>163+211+151+153</f>
        <v>678</v>
      </c>
      <c r="F10" s="28">
        <f>165+171+161+160</f>
        <v>657</v>
      </c>
      <c r="G10" s="28">
        <f>189+150+169+201</f>
        <v>709</v>
      </c>
      <c r="H10" s="28">
        <f>168+148+169+191</f>
        <v>676</v>
      </c>
      <c r="I10" s="29">
        <f t="shared" si="0"/>
        <v>8002</v>
      </c>
    </row>
    <row r="11" spans="1:9" ht="21" thickBot="1">
      <c r="A11" s="30">
        <f t="shared" si="1"/>
        <v>6</v>
      </c>
      <c r="B11" s="15" t="s">
        <v>358</v>
      </c>
      <c r="C11" s="26"/>
      <c r="D11" s="14">
        <v>5376</v>
      </c>
      <c r="E11" s="33">
        <f>188+173+154+164</f>
        <v>679</v>
      </c>
      <c r="F11" s="34">
        <f>159+170+198+150</f>
        <v>677</v>
      </c>
      <c r="G11" s="34">
        <f>142+154+156+202</f>
        <v>654</v>
      </c>
      <c r="H11" s="34">
        <f>159+168+140+146</f>
        <v>613</v>
      </c>
      <c r="I11" s="29">
        <f t="shared" si="0"/>
        <v>7999</v>
      </c>
    </row>
    <row r="12" spans="1:9" s="35" customFormat="1" ht="21" thickBot="1">
      <c r="A12" s="30">
        <f t="shared" si="1"/>
        <v>7</v>
      </c>
      <c r="B12" s="15" t="s">
        <v>71</v>
      </c>
      <c r="C12" s="26"/>
      <c r="D12" s="14">
        <v>5244</v>
      </c>
      <c r="E12" s="27">
        <f>203+200+113+167</f>
        <v>683</v>
      </c>
      <c r="F12" s="28">
        <f>152+164+154+173</f>
        <v>643</v>
      </c>
      <c r="G12" s="28">
        <f>193+166+165+176</f>
        <v>700</v>
      </c>
      <c r="H12" s="28">
        <f>140+192+187+181</f>
        <v>700</v>
      </c>
      <c r="I12" s="29">
        <f t="shared" si="0"/>
        <v>7970</v>
      </c>
    </row>
    <row r="13" spans="1:9" ht="21" thickBot="1">
      <c r="A13" s="30">
        <f t="shared" si="1"/>
        <v>8</v>
      </c>
      <c r="B13" s="15" t="s">
        <v>628</v>
      </c>
      <c r="C13" s="26"/>
      <c r="D13" s="14">
        <v>5064</v>
      </c>
      <c r="E13" s="31">
        <f>177+182+170+156</f>
        <v>685</v>
      </c>
      <c r="F13" s="32">
        <f>155+157+212+198</f>
        <v>722</v>
      </c>
      <c r="G13" s="32">
        <f>198+206+146+197</f>
        <v>747</v>
      </c>
      <c r="H13" s="32">
        <f>176+175+216+146</f>
        <v>713</v>
      </c>
      <c r="I13" s="29">
        <f t="shared" si="0"/>
        <v>7931</v>
      </c>
    </row>
    <row r="14" spans="1:9" ht="21" thickBot="1">
      <c r="A14" s="30">
        <f t="shared" si="1"/>
        <v>9</v>
      </c>
      <c r="B14" s="15" t="s">
        <v>379</v>
      </c>
      <c r="C14" s="26"/>
      <c r="D14" s="14">
        <v>5003</v>
      </c>
      <c r="E14" s="36">
        <f>152+162+163+138</f>
        <v>615</v>
      </c>
      <c r="F14" s="37">
        <f>173+178+197+234</f>
        <v>782</v>
      </c>
      <c r="G14" s="37">
        <f>174+210+170+192</f>
        <v>746</v>
      </c>
      <c r="H14" s="37">
        <f>171+164+178+208</f>
        <v>721</v>
      </c>
      <c r="I14" s="29">
        <f t="shared" si="0"/>
        <v>7867</v>
      </c>
    </row>
    <row r="15" spans="1:9" ht="21" thickBot="1">
      <c r="A15" s="30">
        <f t="shared" si="1"/>
        <v>10</v>
      </c>
      <c r="B15" s="15" t="s">
        <v>493</v>
      </c>
      <c r="C15" s="26"/>
      <c r="D15" s="14">
        <v>5055</v>
      </c>
      <c r="E15" s="27">
        <f>142+190+145+147</f>
        <v>624</v>
      </c>
      <c r="F15" s="28">
        <f>160+192+173+179</f>
        <v>704</v>
      </c>
      <c r="G15" s="28">
        <f>131+232+165+196</f>
        <v>724</v>
      </c>
      <c r="H15" s="28">
        <f>191+149+187+197</f>
        <v>724</v>
      </c>
      <c r="I15" s="29">
        <f t="shared" si="0"/>
        <v>7831</v>
      </c>
    </row>
    <row r="16" spans="1:9" ht="21" thickBot="1">
      <c r="A16" s="30">
        <f t="shared" si="1"/>
        <v>11</v>
      </c>
      <c r="B16" s="15" t="s">
        <v>385</v>
      </c>
      <c r="C16" s="26"/>
      <c r="D16" s="14">
        <v>5063</v>
      </c>
      <c r="E16" s="27">
        <f>153+152+138+148</f>
        <v>591</v>
      </c>
      <c r="F16" s="28">
        <f>157+165+180+171</f>
        <v>673</v>
      </c>
      <c r="G16" s="28">
        <f>181+176+145+192</f>
        <v>694</v>
      </c>
      <c r="H16" s="28">
        <f>180+164+110+191</f>
        <v>645</v>
      </c>
      <c r="I16" s="29">
        <f t="shared" si="0"/>
        <v>7666</v>
      </c>
    </row>
    <row r="17" spans="1:9" ht="21" thickBot="1">
      <c r="A17" s="30">
        <f t="shared" si="1"/>
        <v>12</v>
      </c>
      <c r="B17" s="15" t="s">
        <v>479</v>
      </c>
      <c r="C17" s="26"/>
      <c r="D17" s="14">
        <v>5085</v>
      </c>
      <c r="E17" s="36">
        <f>176+146+135+135</f>
        <v>592</v>
      </c>
      <c r="F17" s="37">
        <f>144+161+203+168</f>
        <v>676</v>
      </c>
      <c r="G17" s="37">
        <f>167+167+170+191</f>
        <v>695</v>
      </c>
      <c r="H17" s="37">
        <f>161+162+133+136</f>
        <v>592</v>
      </c>
      <c r="I17" s="29">
        <f t="shared" si="0"/>
        <v>7640</v>
      </c>
    </row>
    <row r="18" spans="1:9" ht="21" thickBot="1">
      <c r="A18" s="30">
        <f t="shared" si="1"/>
        <v>13</v>
      </c>
      <c r="B18" s="15" t="s">
        <v>79</v>
      </c>
      <c r="C18" s="26"/>
      <c r="D18" s="14">
        <v>5024</v>
      </c>
      <c r="E18" s="27">
        <f>144+192+144+155</f>
        <v>635</v>
      </c>
      <c r="F18" s="28">
        <f>174+166+139+157</f>
        <v>636</v>
      </c>
      <c r="G18" s="28">
        <f>174+180+152+143</f>
        <v>649</v>
      </c>
      <c r="H18" s="28">
        <f>179+139+114+172</f>
        <v>604</v>
      </c>
      <c r="I18" s="29">
        <f t="shared" si="0"/>
        <v>7548</v>
      </c>
    </row>
    <row r="19" spans="1:9" ht="21" thickBot="1">
      <c r="A19" s="30">
        <f t="shared" si="1"/>
        <v>14</v>
      </c>
      <c r="B19" s="15" t="s">
        <v>332</v>
      </c>
      <c r="C19" s="26"/>
      <c r="D19" s="14">
        <v>4762</v>
      </c>
      <c r="E19" s="27">
        <f>154+175+147+198</f>
        <v>674</v>
      </c>
      <c r="F19" s="28">
        <f>134+164+182+197</f>
        <v>677</v>
      </c>
      <c r="G19" s="28">
        <f>144+156+157+188</f>
        <v>645</v>
      </c>
      <c r="H19" s="28">
        <f>201+170+176+178</f>
        <v>725</v>
      </c>
      <c r="I19" s="29">
        <f t="shared" si="0"/>
        <v>7483</v>
      </c>
    </row>
    <row r="20" spans="1:9" ht="21" thickBot="1">
      <c r="A20" s="30">
        <f t="shared" si="1"/>
        <v>15</v>
      </c>
      <c r="B20" s="15" t="s">
        <v>316</v>
      </c>
      <c r="C20" s="26"/>
      <c r="D20" s="14">
        <v>4932</v>
      </c>
      <c r="E20" s="27">
        <f>159+141+146+150</f>
        <v>596</v>
      </c>
      <c r="F20" s="28">
        <f>194+170+143+187</f>
        <v>694</v>
      </c>
      <c r="G20" s="28">
        <f>144+144+155+132</f>
        <v>575</v>
      </c>
      <c r="H20" s="28">
        <f>163+169+156+194</f>
        <v>682</v>
      </c>
      <c r="I20" s="29">
        <f t="shared" si="0"/>
        <v>7479</v>
      </c>
    </row>
    <row r="21" spans="1:9" ht="21" thickBot="1">
      <c r="A21" s="30">
        <f t="shared" si="1"/>
        <v>16</v>
      </c>
      <c r="B21" s="15" t="s">
        <v>629</v>
      </c>
      <c r="C21" s="26"/>
      <c r="D21" s="14">
        <v>4875</v>
      </c>
      <c r="E21" s="27">
        <f>114+174+159+194</f>
        <v>641</v>
      </c>
      <c r="F21" s="28">
        <f>171+167+146+164</f>
        <v>648</v>
      </c>
      <c r="G21" s="28">
        <f>173+198+170+163</f>
        <v>704</v>
      </c>
      <c r="H21" s="28">
        <f>165+139+151+152</f>
        <v>607</v>
      </c>
      <c r="I21" s="29">
        <f t="shared" si="0"/>
        <v>7475</v>
      </c>
    </row>
    <row r="22" spans="1:9" ht="21" thickBot="1">
      <c r="A22" s="30">
        <f t="shared" si="1"/>
        <v>17</v>
      </c>
      <c r="B22" s="15" t="s">
        <v>153</v>
      </c>
      <c r="C22" s="26"/>
      <c r="D22" s="14">
        <v>4778</v>
      </c>
      <c r="E22" s="27">
        <f>146+170+125+163</f>
        <v>604</v>
      </c>
      <c r="F22" s="28">
        <f>150+198+161+169</f>
        <v>678</v>
      </c>
      <c r="G22" s="28">
        <f>170+179+146+140</f>
        <v>635</v>
      </c>
      <c r="H22" s="28">
        <f>134+148+157+184</f>
        <v>623</v>
      </c>
      <c r="I22" s="29">
        <f t="shared" si="0"/>
        <v>7318</v>
      </c>
    </row>
    <row r="23" spans="1:9" ht="21" thickBot="1">
      <c r="A23" s="30">
        <f t="shared" si="1"/>
        <v>18</v>
      </c>
      <c r="B23" s="15" t="s">
        <v>340</v>
      </c>
      <c r="C23" s="26"/>
      <c r="D23" s="14">
        <v>4659</v>
      </c>
      <c r="E23" s="27">
        <f>168+159+152+168</f>
        <v>647</v>
      </c>
      <c r="F23" s="28">
        <f>144+134+226+236</f>
        <v>740</v>
      </c>
      <c r="G23" s="28">
        <f>161+189+125+153</f>
        <v>628</v>
      </c>
      <c r="H23" s="28">
        <f>181+176+150+136</f>
        <v>643</v>
      </c>
      <c r="I23" s="29">
        <f t="shared" si="0"/>
        <v>7317</v>
      </c>
    </row>
    <row r="24" spans="1:9" ht="21" thickBot="1">
      <c r="A24" s="30">
        <f t="shared" si="1"/>
        <v>19</v>
      </c>
      <c r="B24" s="15" t="s">
        <v>221</v>
      </c>
      <c r="C24" s="26"/>
      <c r="D24" s="14">
        <v>4782</v>
      </c>
      <c r="E24" s="27">
        <f>192+143+167+143</f>
        <v>645</v>
      </c>
      <c r="F24" s="28">
        <f>156+202+124+194</f>
        <v>676</v>
      </c>
      <c r="G24" s="28">
        <f>167+119+163+146</f>
        <v>595</v>
      </c>
      <c r="H24" s="28">
        <f>156+132+154+155</f>
        <v>597</v>
      </c>
      <c r="I24" s="29">
        <f t="shared" si="0"/>
        <v>7295</v>
      </c>
    </row>
    <row r="25" spans="1:9" ht="21" thickBot="1">
      <c r="A25" s="30">
        <f t="shared" si="1"/>
        <v>20</v>
      </c>
      <c r="B25" s="15" t="s">
        <v>365</v>
      </c>
      <c r="C25" s="26"/>
      <c r="D25" s="14">
        <v>4857</v>
      </c>
      <c r="E25" s="31">
        <f>145+150+142+149</f>
        <v>586</v>
      </c>
      <c r="F25" s="32">
        <f>136+158+132+156</f>
        <v>582</v>
      </c>
      <c r="G25" s="32">
        <f>125+165+159+172</f>
        <v>621</v>
      </c>
      <c r="H25" s="32">
        <f>158+143+136+123</f>
        <v>560</v>
      </c>
      <c r="I25" s="29">
        <f t="shared" si="0"/>
        <v>7206</v>
      </c>
    </row>
    <row r="26" spans="1:9" ht="21" thickBot="1">
      <c r="A26" s="30">
        <f t="shared" si="1"/>
        <v>21</v>
      </c>
      <c r="B26" s="15" t="s">
        <v>486</v>
      </c>
      <c r="C26" s="26"/>
      <c r="D26" s="14">
        <v>4689</v>
      </c>
      <c r="E26" s="27">
        <f>208+148+131+158</f>
        <v>645</v>
      </c>
      <c r="F26" s="28">
        <f>155+120+192+167</f>
        <v>634</v>
      </c>
      <c r="G26" s="28">
        <f>140+178+183+164</f>
        <v>665</v>
      </c>
      <c r="H26" s="28">
        <f>134+127+149+154</f>
        <v>564</v>
      </c>
      <c r="I26" s="29">
        <f t="shared" si="0"/>
        <v>7197</v>
      </c>
    </row>
    <row r="27" spans="1:9" ht="21" thickBot="1">
      <c r="A27" s="30">
        <f t="shared" si="1"/>
        <v>22</v>
      </c>
      <c r="B27" s="15" t="s">
        <v>87</v>
      </c>
      <c r="C27" s="26"/>
      <c r="D27" s="14">
        <v>4478</v>
      </c>
      <c r="E27" s="27">
        <f>176+211+181+146</f>
        <v>714</v>
      </c>
      <c r="F27" s="28">
        <f>154+214+167+172</f>
        <v>707</v>
      </c>
      <c r="G27" s="28">
        <f>118+170+153+160</f>
        <v>601</v>
      </c>
      <c r="H27" s="28">
        <f>120+187+142+161</f>
        <v>610</v>
      </c>
      <c r="I27" s="29">
        <f t="shared" si="0"/>
        <v>7110</v>
      </c>
    </row>
    <row r="28" spans="1:9" ht="21" thickBot="1">
      <c r="A28" s="30">
        <f t="shared" si="1"/>
        <v>23</v>
      </c>
      <c r="B28" s="15" t="s">
        <v>96</v>
      </c>
      <c r="C28" s="26"/>
      <c r="D28" s="14">
        <v>4693</v>
      </c>
      <c r="E28" s="27">
        <f>179+144+146+161</f>
        <v>630</v>
      </c>
      <c r="F28" s="28">
        <f>169+126+166+197</f>
        <v>658</v>
      </c>
      <c r="G28" s="28">
        <f>147+140+130+120</f>
        <v>537</v>
      </c>
      <c r="H28" s="28">
        <f>135+152+114+124</f>
        <v>525</v>
      </c>
      <c r="I28" s="29">
        <f t="shared" si="0"/>
        <v>7043</v>
      </c>
    </row>
    <row r="29" spans="1:9" ht="21" thickBot="1">
      <c r="A29" s="30">
        <f t="shared" si="1"/>
        <v>24</v>
      </c>
      <c r="B29" s="15" t="s">
        <v>162</v>
      </c>
      <c r="C29" s="26"/>
      <c r="D29" s="14">
        <v>4550</v>
      </c>
      <c r="E29" s="27">
        <f>156+149+185+131</f>
        <v>621</v>
      </c>
      <c r="F29" s="28">
        <f>144+132+147+162</f>
        <v>585</v>
      </c>
      <c r="G29" s="28">
        <f>149+182+184+163</f>
        <v>678</v>
      </c>
      <c r="H29" s="28">
        <f>144+130+155+127</f>
        <v>556</v>
      </c>
      <c r="I29" s="29">
        <f t="shared" si="0"/>
        <v>6990</v>
      </c>
    </row>
    <row r="30" spans="1:9" ht="21" thickBot="1">
      <c r="A30" s="30">
        <f t="shared" si="1"/>
        <v>25</v>
      </c>
      <c r="B30" s="15" t="s">
        <v>502</v>
      </c>
      <c r="C30" s="26"/>
      <c r="D30" s="14">
        <v>4604</v>
      </c>
      <c r="E30" s="27">
        <f>160+156+162+148</f>
        <v>626</v>
      </c>
      <c r="F30" s="28">
        <f>125+132+120+126</f>
        <v>503</v>
      </c>
      <c r="G30" s="28">
        <f>116+156+156+150</f>
        <v>578</v>
      </c>
      <c r="H30" s="28">
        <f>184+144+124+172</f>
        <v>624</v>
      </c>
      <c r="I30" s="29">
        <f t="shared" si="0"/>
        <v>6935</v>
      </c>
    </row>
    <row r="31" spans="1:9" ht="21" thickBot="1">
      <c r="A31" s="30">
        <f t="shared" si="1"/>
        <v>26</v>
      </c>
      <c r="B31" s="15" t="s">
        <v>630</v>
      </c>
      <c r="C31" s="26"/>
      <c r="D31" s="14">
        <v>4577</v>
      </c>
      <c r="E31" s="31">
        <f>139+127+143+170</f>
        <v>579</v>
      </c>
      <c r="F31" s="32">
        <f>147+148+135+151</f>
        <v>581</v>
      </c>
      <c r="G31" s="32">
        <f>174+144+122+134</f>
        <v>574</v>
      </c>
      <c r="H31" s="32">
        <f>172+172+151+125</f>
        <v>620</v>
      </c>
      <c r="I31" s="29">
        <f t="shared" si="0"/>
        <v>6931</v>
      </c>
    </row>
    <row r="32" spans="1:9" ht="21" thickBot="1">
      <c r="A32" s="30">
        <f t="shared" si="1"/>
        <v>27</v>
      </c>
      <c r="B32" s="15" t="s">
        <v>532</v>
      </c>
      <c r="C32" s="26"/>
      <c r="D32" s="14">
        <v>4481</v>
      </c>
      <c r="E32" s="27">
        <f>102+126+135+132</f>
        <v>495</v>
      </c>
      <c r="F32" s="28">
        <f>141+121+162+128</f>
        <v>552</v>
      </c>
      <c r="G32" s="28">
        <f>176+148+114+133</f>
        <v>571</v>
      </c>
      <c r="H32" s="28">
        <f>145+196+157+185</f>
        <v>683</v>
      </c>
      <c r="I32" s="29">
        <f t="shared" si="0"/>
        <v>6782</v>
      </c>
    </row>
    <row r="33" spans="1:9" ht="21" thickBot="1">
      <c r="A33" s="30">
        <f t="shared" si="1"/>
        <v>28</v>
      </c>
      <c r="B33" s="15" t="s">
        <v>230</v>
      </c>
      <c r="C33" s="26"/>
      <c r="D33" s="14">
        <v>4511</v>
      </c>
      <c r="E33" s="27">
        <f>180+136+160+128</f>
        <v>604</v>
      </c>
      <c r="F33" s="28">
        <f>178+118+133+132</f>
        <v>561</v>
      </c>
      <c r="G33" s="28">
        <f>161+122+120+167</f>
        <v>570</v>
      </c>
      <c r="H33" s="28">
        <f>132+123+111+117</f>
        <v>483</v>
      </c>
      <c r="I33" s="29">
        <f t="shared" si="0"/>
        <v>6729</v>
      </c>
    </row>
    <row r="34" spans="1:9" ht="21" thickBot="1">
      <c r="A34" s="30">
        <f t="shared" si="1"/>
        <v>29</v>
      </c>
      <c r="B34" s="15" t="s">
        <v>126</v>
      </c>
      <c r="C34" s="26"/>
      <c r="D34" s="14">
        <v>4317</v>
      </c>
      <c r="E34" s="27">
        <f>159+158+169+155</f>
        <v>641</v>
      </c>
      <c r="F34" s="28">
        <f>144+150+148+134</f>
        <v>576</v>
      </c>
      <c r="G34" s="28">
        <f>171+141+109+117</f>
        <v>538</v>
      </c>
      <c r="H34" s="28">
        <f>166+140+173+177</f>
        <v>656</v>
      </c>
      <c r="I34" s="29">
        <f t="shared" si="0"/>
        <v>6728</v>
      </c>
    </row>
    <row r="35" spans="1:9" ht="21" thickBot="1">
      <c r="A35" s="30">
        <f t="shared" si="1"/>
        <v>30</v>
      </c>
      <c r="B35" s="15" t="s">
        <v>353</v>
      </c>
      <c r="C35" s="26"/>
      <c r="D35" s="14">
        <v>4376</v>
      </c>
      <c r="E35" s="27">
        <f>169+152+154+182</f>
        <v>657</v>
      </c>
      <c r="F35" s="28">
        <f>132+134+135+159</f>
        <v>560</v>
      </c>
      <c r="G35" s="28">
        <f>161+114+139+177</f>
        <v>591</v>
      </c>
      <c r="H35" s="28">
        <f>117+106+176+140</f>
        <v>539</v>
      </c>
      <c r="I35" s="29">
        <f t="shared" si="0"/>
        <v>6723</v>
      </c>
    </row>
    <row r="36" spans="1:9" ht="21" thickBot="1">
      <c r="A36" s="30">
        <f t="shared" si="1"/>
        <v>31</v>
      </c>
      <c r="B36" s="15" t="s">
        <v>48</v>
      </c>
      <c r="C36" s="26"/>
      <c r="D36" s="14">
        <v>4277</v>
      </c>
      <c r="E36" s="27">
        <f>140+148+143+180</f>
        <v>611</v>
      </c>
      <c r="F36" s="28">
        <f>126+186+133+118</f>
        <v>563</v>
      </c>
      <c r="G36" s="28">
        <f>119+191+170+161</f>
        <v>641</v>
      </c>
      <c r="H36" s="28">
        <f>133+129+126+158</f>
        <v>546</v>
      </c>
      <c r="I36" s="29">
        <f t="shared" si="0"/>
        <v>6638</v>
      </c>
    </row>
    <row r="37" spans="1:9" s="35" customFormat="1" ht="21" thickBot="1">
      <c r="A37" s="30">
        <f t="shared" si="1"/>
        <v>32</v>
      </c>
      <c r="B37" s="15" t="s">
        <v>433</v>
      </c>
      <c r="C37" s="26"/>
      <c r="D37" s="14">
        <v>4315</v>
      </c>
      <c r="E37" s="27">
        <f>116+176+94+142</f>
        <v>528</v>
      </c>
      <c r="F37" s="28">
        <f>143+161+164+87</f>
        <v>555</v>
      </c>
      <c r="G37" s="28">
        <f>140+206+144+142</f>
        <v>632</v>
      </c>
      <c r="H37" s="28">
        <f>155+149+142+143</f>
        <v>589</v>
      </c>
      <c r="I37" s="29">
        <f t="shared" si="0"/>
        <v>6619</v>
      </c>
    </row>
    <row r="38" spans="1:9" s="35" customFormat="1" ht="21" thickBot="1">
      <c r="A38" s="30">
        <f t="shared" si="1"/>
        <v>33</v>
      </c>
      <c r="B38" s="15" t="s">
        <v>398</v>
      </c>
      <c r="C38" s="26"/>
      <c r="D38" s="14">
        <v>4248</v>
      </c>
      <c r="E38" s="27">
        <f>157+117+187+129</f>
        <v>590</v>
      </c>
      <c r="F38" s="28">
        <f>171+136+137+147</f>
        <v>591</v>
      </c>
      <c r="G38" s="28">
        <f>120+171+135+110</f>
        <v>536</v>
      </c>
      <c r="H38" s="28">
        <f>131+156+106+153</f>
        <v>546</v>
      </c>
      <c r="I38" s="29">
        <f t="shared" si="0"/>
        <v>6511</v>
      </c>
    </row>
    <row r="39" spans="1:9" s="35" customFormat="1" ht="21" thickBot="1">
      <c r="A39" s="30">
        <f t="shared" si="1"/>
        <v>34</v>
      </c>
      <c r="B39" s="15" t="s">
        <v>372</v>
      </c>
      <c r="C39" s="26"/>
      <c r="D39" s="14">
        <v>4137</v>
      </c>
      <c r="E39" s="27">
        <f>117+162+120+168</f>
        <v>567</v>
      </c>
      <c r="F39" s="28">
        <f>190+123+164+157</f>
        <v>634</v>
      </c>
      <c r="G39" s="28">
        <f>120+149+135+140</f>
        <v>544</v>
      </c>
      <c r="H39" s="28">
        <f>153+151+124+153</f>
        <v>581</v>
      </c>
      <c r="I39" s="29">
        <f t="shared" si="0"/>
        <v>6463</v>
      </c>
    </row>
    <row r="40" spans="1:9" s="35" customFormat="1" ht="21" thickBot="1">
      <c r="A40" s="30">
        <f t="shared" si="1"/>
        <v>35</v>
      </c>
      <c r="B40" s="15" t="s">
        <v>412</v>
      </c>
      <c r="C40" s="26"/>
      <c r="D40" s="14">
        <v>4190</v>
      </c>
      <c r="E40" s="27">
        <f>125+167+163+136</f>
        <v>591</v>
      </c>
      <c r="F40" s="28">
        <f>138+169+136+166</f>
        <v>609</v>
      </c>
      <c r="G40" s="28">
        <f>129+126+134+127</f>
        <v>516</v>
      </c>
      <c r="H40" s="28">
        <f>125+150+131+131</f>
        <v>537</v>
      </c>
      <c r="I40" s="29">
        <f t="shared" si="0"/>
        <v>6443</v>
      </c>
    </row>
    <row r="41" spans="1:9" s="35" customFormat="1" ht="21" thickBot="1">
      <c r="A41" s="30">
        <f t="shared" si="1"/>
        <v>36</v>
      </c>
      <c r="B41" s="15" t="s">
        <v>631</v>
      </c>
      <c r="C41" s="26"/>
      <c r="D41" s="14">
        <v>3920</v>
      </c>
      <c r="E41" s="27">
        <f>140+158+155+186</f>
        <v>639</v>
      </c>
      <c r="F41" s="28">
        <f>99+152+123+148</f>
        <v>522</v>
      </c>
      <c r="G41" s="28">
        <f>111+143+131+119</f>
        <v>504</v>
      </c>
      <c r="H41" s="28">
        <f>121+162+127+150</f>
        <v>560</v>
      </c>
      <c r="I41" s="29">
        <f t="shared" si="0"/>
        <v>6145</v>
      </c>
    </row>
    <row r="42" spans="2:8" s="35" customFormat="1" ht="15">
      <c r="B42" s="38"/>
      <c r="C42" s="38"/>
      <c r="D42" s="38"/>
      <c r="E42" s="39"/>
      <c r="F42" s="39"/>
      <c r="G42" s="39"/>
      <c r="H42" s="39"/>
    </row>
    <row r="43" spans="2:8" s="35" customFormat="1" ht="15">
      <c r="B43" s="38"/>
      <c r="C43" s="38"/>
      <c r="D43" s="38"/>
      <c r="E43" s="39"/>
      <c r="F43" s="39"/>
      <c r="G43" s="39"/>
      <c r="H43" s="39"/>
    </row>
    <row r="44" spans="2:8" s="35" customFormat="1" ht="15">
      <c r="B44" s="38"/>
      <c r="C44" s="38"/>
      <c r="D44" s="38"/>
      <c r="E44" s="39"/>
      <c r="F44" s="39"/>
      <c r="G44" s="39"/>
      <c r="H44" s="39"/>
    </row>
  </sheetData>
  <mergeCells count="2">
    <mergeCell ref="A1:I1"/>
    <mergeCell ref="A2:I2"/>
  </mergeCells>
  <printOptions/>
  <pageMargins left="0.7" right="0.7" top="0.75" bottom="0.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sharm</dc:creator>
  <cp:keywords/>
  <dc:description/>
  <cp:lastModifiedBy>Dylan Murphy</cp:lastModifiedBy>
  <cp:lastPrinted>2014-10-11T21:15:38Z</cp:lastPrinted>
  <dcterms:created xsi:type="dcterms:W3CDTF">2014-10-06T18:55:25Z</dcterms:created>
  <dcterms:modified xsi:type="dcterms:W3CDTF">2014-10-17T02:55:15Z</dcterms:modified>
  <cp:category/>
  <cp:version/>
  <cp:contentType/>
  <cp:contentStatus/>
</cp:coreProperties>
</file>