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ctrlProps/ctrlProp2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2M\Desktop\"/>
    </mc:Choice>
  </mc:AlternateContent>
  <bookViews>
    <workbookView xWindow="0" yWindow="0" windowWidth="20415" windowHeight="7680" tabRatio="834" firstSheet="4" activeTab="9"/>
  </bookViews>
  <sheets>
    <sheet name="Men Score Entry" sheetId="1" r:id="rId1"/>
    <sheet name="Women Score Entry" sheetId="2" r:id="rId2"/>
    <sheet name="Men Saturday Team" sheetId="3" r:id="rId3"/>
    <sheet name="Men Saturday Individual" sheetId="4" r:id="rId4"/>
    <sheet name="Women Saturday Team" sheetId="5" r:id="rId5"/>
    <sheet name="Women Saturday Individual" sheetId="6" r:id="rId6"/>
    <sheet name="Men Sunday Baker" sheetId="7" r:id="rId7"/>
    <sheet name="Women Sunday Baker" sheetId="8" r:id="rId8"/>
    <sheet name="Men Bracket" sheetId="9" r:id="rId9"/>
    <sheet name="Women Bracket" sheetId="10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1" i="8" l="1"/>
  <c r="E71" i="8"/>
  <c r="D71" i="8"/>
  <c r="G71" i="8" s="1"/>
  <c r="G70" i="8"/>
  <c r="G69" i="8"/>
  <c r="F69" i="8"/>
  <c r="E69" i="8"/>
  <c r="D69" i="8"/>
  <c r="F68" i="8"/>
  <c r="E68" i="8"/>
  <c r="D68" i="8"/>
  <c r="G68" i="8" s="1"/>
  <c r="F67" i="8"/>
  <c r="E67" i="8"/>
  <c r="D67" i="8"/>
  <c r="G67" i="8" s="1"/>
  <c r="F66" i="8"/>
  <c r="G66" i="8" s="1"/>
  <c r="E66" i="8"/>
  <c r="D66" i="8"/>
  <c r="G65" i="8"/>
  <c r="F65" i="8"/>
  <c r="E65" i="8"/>
  <c r="D65" i="8"/>
  <c r="F64" i="8"/>
  <c r="E64" i="8"/>
  <c r="D64" i="8"/>
  <c r="G64" i="8" s="1"/>
  <c r="F63" i="8"/>
  <c r="E63" i="8"/>
  <c r="D63" i="8"/>
  <c r="G63" i="8" s="1"/>
  <c r="F62" i="8"/>
  <c r="G62" i="8" s="1"/>
  <c r="E62" i="8"/>
  <c r="D62" i="8"/>
  <c r="G61" i="8"/>
  <c r="F61" i="8"/>
  <c r="E61" i="8"/>
  <c r="D61" i="8"/>
  <c r="F60" i="8"/>
  <c r="E60" i="8"/>
  <c r="D60" i="8"/>
  <c r="G60" i="8" s="1"/>
  <c r="F59" i="8"/>
  <c r="E59" i="8"/>
  <c r="D59" i="8"/>
  <c r="G59" i="8" s="1"/>
  <c r="F58" i="8"/>
  <c r="G58" i="8" s="1"/>
  <c r="E58" i="8"/>
  <c r="D58" i="8"/>
  <c r="G57" i="8"/>
  <c r="F57" i="8"/>
  <c r="E57" i="8"/>
  <c r="D57" i="8"/>
  <c r="F56" i="8"/>
  <c r="E56" i="8"/>
  <c r="D56" i="8"/>
  <c r="G56" i="8" s="1"/>
  <c r="F55" i="8"/>
  <c r="E55" i="8"/>
  <c r="D55" i="8"/>
  <c r="G55" i="8" s="1"/>
  <c r="F54" i="8"/>
  <c r="G54" i="8" s="1"/>
  <c r="E54" i="8"/>
  <c r="D54" i="8"/>
  <c r="G53" i="8"/>
  <c r="F53" i="8"/>
  <c r="E53" i="8"/>
  <c r="D53" i="8"/>
  <c r="F52" i="8"/>
  <c r="E52" i="8"/>
  <c r="D52" i="8"/>
  <c r="G52" i="8" s="1"/>
  <c r="F51" i="8"/>
  <c r="E51" i="8"/>
  <c r="D51" i="8"/>
  <c r="G51" i="8" s="1"/>
  <c r="F50" i="8"/>
  <c r="G50" i="8" s="1"/>
  <c r="E50" i="8"/>
  <c r="D50" i="8"/>
  <c r="G49" i="8"/>
  <c r="F49" i="8"/>
  <c r="E49" i="8"/>
  <c r="D49" i="8"/>
  <c r="F48" i="8"/>
  <c r="E48" i="8"/>
  <c r="D48" i="8"/>
  <c r="G48" i="8" s="1"/>
  <c r="F47" i="8"/>
  <c r="E47" i="8"/>
  <c r="D47" i="8"/>
  <c r="G47" i="8" s="1"/>
  <c r="F46" i="8"/>
  <c r="G46" i="8" s="1"/>
  <c r="E46" i="8"/>
  <c r="D46" i="8"/>
  <c r="G45" i="8"/>
  <c r="F45" i="8"/>
  <c r="E45" i="8"/>
  <c r="D45" i="8"/>
  <c r="F44" i="8"/>
  <c r="E44" i="8"/>
  <c r="D44" i="8"/>
  <c r="G44" i="8" s="1"/>
  <c r="F43" i="8"/>
  <c r="E43" i="8"/>
  <c r="D43" i="8"/>
  <c r="G43" i="8" s="1"/>
  <c r="F42" i="8"/>
  <c r="G42" i="8" s="1"/>
  <c r="E42" i="8"/>
  <c r="D42" i="8"/>
  <c r="G41" i="8"/>
  <c r="F41" i="8"/>
  <c r="E41" i="8"/>
  <c r="D41" i="8"/>
  <c r="F40" i="8"/>
  <c r="E40" i="8"/>
  <c r="D40" i="8"/>
  <c r="G40" i="8" s="1"/>
  <c r="F39" i="8"/>
  <c r="E39" i="8"/>
  <c r="D39" i="8"/>
  <c r="G39" i="8" s="1"/>
  <c r="F38" i="8"/>
  <c r="G38" i="8" s="1"/>
  <c r="E38" i="8"/>
  <c r="D38" i="8"/>
  <c r="G37" i="8"/>
  <c r="F37" i="8"/>
  <c r="E37" i="8"/>
  <c r="D37" i="8"/>
  <c r="F36" i="8"/>
  <c r="E36" i="8"/>
  <c r="D36" i="8"/>
  <c r="G36" i="8" s="1"/>
  <c r="F35" i="8"/>
  <c r="E35" i="8"/>
  <c r="D35" i="8"/>
  <c r="G35" i="8" s="1"/>
  <c r="F34" i="8"/>
  <c r="G34" i="8" s="1"/>
  <c r="E34" i="8"/>
  <c r="D34" i="8"/>
  <c r="G33" i="8"/>
  <c r="F33" i="8"/>
  <c r="E33" i="8"/>
  <c r="D33" i="8"/>
  <c r="F32" i="8"/>
  <c r="E32" i="8"/>
  <c r="D32" i="8"/>
  <c r="G32" i="8" s="1"/>
  <c r="F31" i="8"/>
  <c r="E31" i="8"/>
  <c r="D31" i="8"/>
  <c r="G31" i="8" s="1"/>
  <c r="F30" i="8"/>
  <c r="G30" i="8" s="1"/>
  <c r="E30" i="8"/>
  <c r="D30" i="8"/>
  <c r="G29" i="8"/>
  <c r="F29" i="8"/>
  <c r="E29" i="8"/>
  <c r="D29" i="8"/>
  <c r="F28" i="8"/>
  <c r="E28" i="8"/>
  <c r="D28" i="8"/>
  <c r="G28" i="8" s="1"/>
  <c r="F27" i="8"/>
  <c r="E27" i="8"/>
  <c r="D27" i="8"/>
  <c r="G27" i="8" s="1"/>
  <c r="F26" i="8"/>
  <c r="G26" i="8" s="1"/>
  <c r="E26" i="8"/>
  <c r="D26" i="8"/>
  <c r="G25" i="8"/>
  <c r="F25" i="8"/>
  <c r="E25" i="8"/>
  <c r="D25" i="8"/>
  <c r="F24" i="8"/>
  <c r="E24" i="8"/>
  <c r="D24" i="8"/>
  <c r="G24" i="8" s="1"/>
  <c r="F23" i="8"/>
  <c r="E23" i="8"/>
  <c r="D23" i="8"/>
  <c r="G23" i="8" s="1"/>
  <c r="F22" i="8"/>
  <c r="G22" i="8" s="1"/>
  <c r="E22" i="8"/>
  <c r="D22" i="8"/>
  <c r="G21" i="8"/>
  <c r="F21" i="8"/>
  <c r="E21" i="8"/>
  <c r="D21" i="8"/>
  <c r="F20" i="8"/>
  <c r="E20" i="8"/>
  <c r="D20" i="8"/>
  <c r="G20" i="8" s="1"/>
  <c r="F19" i="8"/>
  <c r="E19" i="8"/>
  <c r="D19" i="8"/>
  <c r="G19" i="8" s="1"/>
  <c r="F18" i="8"/>
  <c r="G18" i="8" s="1"/>
  <c r="E18" i="8"/>
  <c r="D18" i="8"/>
  <c r="G17" i="8"/>
  <c r="F17" i="8"/>
  <c r="E17" i="8"/>
  <c r="D17" i="8"/>
  <c r="F16" i="8"/>
  <c r="E16" i="8"/>
  <c r="D16" i="8"/>
  <c r="G16" i="8" s="1"/>
  <c r="F15" i="8"/>
  <c r="E15" i="8"/>
  <c r="D15" i="8"/>
  <c r="G15" i="8" s="1"/>
  <c r="F14" i="8"/>
  <c r="G14" i="8" s="1"/>
  <c r="A14" i="8" s="1"/>
  <c r="E14" i="8"/>
  <c r="D14" i="8"/>
  <c r="G13" i="8"/>
  <c r="F13" i="8"/>
  <c r="E13" i="8"/>
  <c r="D13" i="8"/>
  <c r="F12" i="8"/>
  <c r="E12" i="8"/>
  <c r="D12" i="8"/>
  <c r="G12" i="8" s="1"/>
  <c r="F11" i="8"/>
  <c r="E11" i="8"/>
  <c r="D11" i="8"/>
  <c r="G11" i="8" s="1"/>
  <c r="A11" i="8" s="1"/>
  <c r="F10" i="8"/>
  <c r="G10" i="8" s="1"/>
  <c r="E10" i="8"/>
  <c r="D10" i="8"/>
  <c r="G9" i="8"/>
  <c r="F9" i="8"/>
  <c r="E9" i="8"/>
  <c r="D9" i="8"/>
  <c r="F8" i="8"/>
  <c r="E8" i="8"/>
  <c r="D8" i="8"/>
  <c r="G8" i="8" s="1"/>
  <c r="F7" i="8"/>
  <c r="E7" i="8"/>
  <c r="D7" i="8"/>
  <c r="G7" i="8" s="1"/>
  <c r="F6" i="8"/>
  <c r="G6" i="8" s="1"/>
  <c r="E6" i="8"/>
  <c r="D6" i="8"/>
  <c r="F83" i="7"/>
  <c r="E83" i="7"/>
  <c r="D83" i="7"/>
  <c r="G83" i="7" s="1"/>
  <c r="F82" i="7"/>
  <c r="E82" i="7"/>
  <c r="D82" i="7"/>
  <c r="G82" i="7" s="1"/>
  <c r="F81" i="7"/>
  <c r="E81" i="7"/>
  <c r="D81" i="7"/>
  <c r="G81" i="7" s="1"/>
  <c r="F80" i="7"/>
  <c r="E80" i="7"/>
  <c r="D80" i="7"/>
  <c r="G80" i="7" s="1"/>
  <c r="F79" i="7"/>
  <c r="E79" i="7"/>
  <c r="D79" i="7"/>
  <c r="G79" i="7" s="1"/>
  <c r="F78" i="7"/>
  <c r="E78" i="7"/>
  <c r="D78" i="7"/>
  <c r="G78" i="7" s="1"/>
  <c r="F77" i="7"/>
  <c r="E77" i="7"/>
  <c r="D77" i="7"/>
  <c r="G77" i="7" s="1"/>
  <c r="F76" i="7"/>
  <c r="E76" i="7"/>
  <c r="D76" i="7"/>
  <c r="G76" i="7" s="1"/>
  <c r="F75" i="7"/>
  <c r="E75" i="7"/>
  <c r="D75" i="7"/>
  <c r="G75" i="7" s="1"/>
  <c r="F74" i="7"/>
  <c r="E74" i="7"/>
  <c r="D74" i="7"/>
  <c r="G74" i="7" s="1"/>
  <c r="F73" i="7"/>
  <c r="E73" i="7"/>
  <c r="D73" i="7"/>
  <c r="G73" i="7" s="1"/>
  <c r="F72" i="7"/>
  <c r="E72" i="7"/>
  <c r="D72" i="7"/>
  <c r="G72" i="7" s="1"/>
  <c r="F71" i="7"/>
  <c r="E71" i="7"/>
  <c r="D71" i="7"/>
  <c r="G71" i="7" s="1"/>
  <c r="F70" i="7"/>
  <c r="E70" i="7"/>
  <c r="D70" i="7"/>
  <c r="G70" i="7" s="1"/>
  <c r="F69" i="7"/>
  <c r="E69" i="7"/>
  <c r="D69" i="7"/>
  <c r="G69" i="7" s="1"/>
  <c r="F68" i="7"/>
  <c r="E68" i="7"/>
  <c r="D68" i="7"/>
  <c r="G68" i="7" s="1"/>
  <c r="F67" i="7"/>
  <c r="E67" i="7"/>
  <c r="D67" i="7"/>
  <c r="G67" i="7" s="1"/>
  <c r="F66" i="7"/>
  <c r="E66" i="7"/>
  <c r="D66" i="7"/>
  <c r="G66" i="7" s="1"/>
  <c r="F65" i="7"/>
  <c r="E65" i="7"/>
  <c r="D65" i="7"/>
  <c r="G65" i="7" s="1"/>
  <c r="F64" i="7"/>
  <c r="E64" i="7"/>
  <c r="D64" i="7"/>
  <c r="G64" i="7" s="1"/>
  <c r="F63" i="7"/>
  <c r="E63" i="7"/>
  <c r="D63" i="7"/>
  <c r="G63" i="7" s="1"/>
  <c r="F62" i="7"/>
  <c r="E62" i="7"/>
  <c r="D62" i="7"/>
  <c r="G62" i="7" s="1"/>
  <c r="F61" i="7"/>
  <c r="E61" i="7"/>
  <c r="D61" i="7"/>
  <c r="G61" i="7" s="1"/>
  <c r="F60" i="7"/>
  <c r="E60" i="7"/>
  <c r="D60" i="7"/>
  <c r="G60" i="7" s="1"/>
  <c r="F59" i="7"/>
  <c r="E59" i="7"/>
  <c r="D59" i="7"/>
  <c r="G59" i="7" s="1"/>
  <c r="F58" i="7"/>
  <c r="E58" i="7"/>
  <c r="D58" i="7"/>
  <c r="G58" i="7" s="1"/>
  <c r="F57" i="7"/>
  <c r="E57" i="7"/>
  <c r="D57" i="7"/>
  <c r="G57" i="7" s="1"/>
  <c r="F56" i="7"/>
  <c r="E56" i="7"/>
  <c r="D56" i="7"/>
  <c r="G56" i="7" s="1"/>
  <c r="F55" i="7"/>
  <c r="E55" i="7"/>
  <c r="D55" i="7"/>
  <c r="G55" i="7" s="1"/>
  <c r="F54" i="7"/>
  <c r="E54" i="7"/>
  <c r="D54" i="7"/>
  <c r="G54" i="7" s="1"/>
  <c r="F53" i="7"/>
  <c r="E53" i="7"/>
  <c r="D53" i="7"/>
  <c r="G53" i="7" s="1"/>
  <c r="F52" i="7"/>
  <c r="E52" i="7"/>
  <c r="D52" i="7"/>
  <c r="G52" i="7" s="1"/>
  <c r="F51" i="7"/>
  <c r="E51" i="7"/>
  <c r="D51" i="7"/>
  <c r="G51" i="7" s="1"/>
  <c r="F50" i="7"/>
  <c r="E50" i="7"/>
  <c r="D50" i="7"/>
  <c r="G50" i="7" s="1"/>
  <c r="F49" i="7"/>
  <c r="E49" i="7"/>
  <c r="D49" i="7"/>
  <c r="G49" i="7" s="1"/>
  <c r="F48" i="7"/>
  <c r="E48" i="7"/>
  <c r="D48" i="7"/>
  <c r="G48" i="7" s="1"/>
  <c r="F47" i="7"/>
  <c r="E47" i="7"/>
  <c r="D47" i="7"/>
  <c r="G47" i="7" s="1"/>
  <c r="F46" i="7"/>
  <c r="E46" i="7"/>
  <c r="D46" i="7"/>
  <c r="G46" i="7" s="1"/>
  <c r="F45" i="7"/>
  <c r="E45" i="7"/>
  <c r="D45" i="7"/>
  <c r="G45" i="7" s="1"/>
  <c r="F44" i="7"/>
  <c r="E44" i="7"/>
  <c r="D44" i="7"/>
  <c r="G44" i="7" s="1"/>
  <c r="F43" i="7"/>
  <c r="E43" i="7"/>
  <c r="G43" i="7" s="1"/>
  <c r="D43" i="7"/>
  <c r="F42" i="7"/>
  <c r="G42" i="7" s="1"/>
  <c r="E42" i="7"/>
  <c r="D42" i="7"/>
  <c r="G41" i="7"/>
  <c r="F41" i="7"/>
  <c r="E41" i="7"/>
  <c r="D41" i="7"/>
  <c r="F40" i="7"/>
  <c r="E40" i="7"/>
  <c r="D40" i="7"/>
  <c r="G40" i="7" s="1"/>
  <c r="F39" i="7"/>
  <c r="E39" i="7"/>
  <c r="G39" i="7" s="1"/>
  <c r="D39" i="7"/>
  <c r="F38" i="7"/>
  <c r="G38" i="7" s="1"/>
  <c r="E38" i="7"/>
  <c r="D38" i="7"/>
  <c r="G37" i="7"/>
  <c r="F37" i="7"/>
  <c r="E37" i="7"/>
  <c r="D37" i="7"/>
  <c r="F36" i="7"/>
  <c r="E36" i="7"/>
  <c r="D36" i="7"/>
  <c r="G36" i="7" s="1"/>
  <c r="F35" i="7"/>
  <c r="E35" i="7"/>
  <c r="G35" i="7" s="1"/>
  <c r="D35" i="7"/>
  <c r="F34" i="7"/>
  <c r="G34" i="7" s="1"/>
  <c r="E34" i="7"/>
  <c r="D34" i="7"/>
  <c r="G33" i="7"/>
  <c r="F33" i="7"/>
  <c r="E33" i="7"/>
  <c r="D33" i="7"/>
  <c r="F32" i="7"/>
  <c r="E32" i="7"/>
  <c r="D32" i="7"/>
  <c r="G32" i="7" s="1"/>
  <c r="F31" i="7"/>
  <c r="E31" i="7"/>
  <c r="G31" i="7" s="1"/>
  <c r="D31" i="7"/>
  <c r="F30" i="7"/>
  <c r="G30" i="7" s="1"/>
  <c r="E30" i="7"/>
  <c r="D30" i="7"/>
  <c r="F29" i="7"/>
  <c r="E29" i="7"/>
  <c r="D29" i="7"/>
  <c r="G29" i="7" s="1"/>
  <c r="F28" i="7"/>
  <c r="E28" i="7"/>
  <c r="D28" i="7"/>
  <c r="G28" i="7" s="1"/>
  <c r="F27" i="7"/>
  <c r="E27" i="7"/>
  <c r="G27" i="7" s="1"/>
  <c r="D27" i="7"/>
  <c r="G26" i="7"/>
  <c r="F26" i="7"/>
  <c r="E26" i="7"/>
  <c r="D26" i="7"/>
  <c r="F25" i="7"/>
  <c r="E25" i="7"/>
  <c r="D25" i="7"/>
  <c r="G25" i="7" s="1"/>
  <c r="F24" i="7"/>
  <c r="E24" i="7"/>
  <c r="D24" i="7"/>
  <c r="G24" i="7" s="1"/>
  <c r="F23" i="7"/>
  <c r="E23" i="7"/>
  <c r="G23" i="7" s="1"/>
  <c r="D23" i="7"/>
  <c r="G22" i="7"/>
  <c r="F22" i="7"/>
  <c r="E22" i="7"/>
  <c r="D22" i="7"/>
  <c r="F21" i="7"/>
  <c r="E21" i="7"/>
  <c r="D21" i="7"/>
  <c r="G21" i="7" s="1"/>
  <c r="F20" i="7"/>
  <c r="E20" i="7"/>
  <c r="D20" i="7"/>
  <c r="G20" i="7" s="1"/>
  <c r="F19" i="7"/>
  <c r="E19" i="7"/>
  <c r="G19" i="7" s="1"/>
  <c r="D19" i="7"/>
  <c r="G18" i="7"/>
  <c r="F18" i="7"/>
  <c r="E18" i="7"/>
  <c r="D18" i="7"/>
  <c r="F17" i="7"/>
  <c r="E17" i="7"/>
  <c r="D17" i="7"/>
  <c r="G17" i="7" s="1"/>
  <c r="F16" i="7"/>
  <c r="E16" i="7"/>
  <c r="D16" i="7"/>
  <c r="G16" i="7" s="1"/>
  <c r="F15" i="7"/>
  <c r="E15" i="7"/>
  <c r="G15" i="7" s="1"/>
  <c r="D15" i="7"/>
  <c r="G14" i="7"/>
  <c r="F14" i="7"/>
  <c r="E14" i="7"/>
  <c r="D14" i="7"/>
  <c r="F13" i="7"/>
  <c r="E13" i="7"/>
  <c r="D13" i="7"/>
  <c r="G13" i="7" s="1"/>
  <c r="F12" i="7"/>
  <c r="E12" i="7"/>
  <c r="D12" i="7"/>
  <c r="G12" i="7" s="1"/>
  <c r="F11" i="7"/>
  <c r="E11" i="7"/>
  <c r="G11" i="7" s="1"/>
  <c r="D11" i="7"/>
  <c r="G10" i="7"/>
  <c r="F10" i="7"/>
  <c r="E10" i="7"/>
  <c r="D10" i="7"/>
  <c r="F9" i="7"/>
  <c r="E9" i="7"/>
  <c r="D9" i="7"/>
  <c r="G9" i="7" s="1"/>
  <c r="F8" i="7"/>
  <c r="E8" i="7"/>
  <c r="D8" i="7"/>
  <c r="G8" i="7" s="1"/>
  <c r="F7" i="7"/>
  <c r="E7" i="7"/>
  <c r="G7" i="7" s="1"/>
  <c r="D7" i="7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F6" i="7"/>
  <c r="G6" i="7" s="1"/>
  <c r="E6" i="7"/>
  <c r="D6" i="7"/>
  <c r="A27" i="8" l="1"/>
  <c r="A41" i="8"/>
  <c r="A48" i="8"/>
  <c r="A62" i="8"/>
  <c r="A18" i="8"/>
  <c r="A20" i="8"/>
  <c r="A34" i="8"/>
  <c r="A36" i="8"/>
  <c r="A45" i="8"/>
  <c r="A47" i="8"/>
  <c r="A50" i="8"/>
  <c r="A52" i="8"/>
  <c r="A63" i="8"/>
  <c r="A66" i="8"/>
  <c r="A68" i="8"/>
  <c r="A71" i="8"/>
  <c r="A16" i="8"/>
  <c r="A25" i="8"/>
  <c r="A32" i="8"/>
  <c r="A43" i="8"/>
  <c r="A46" i="8"/>
  <c r="A59" i="8"/>
  <c r="A64" i="8"/>
  <c r="A13" i="8"/>
  <c r="A15" i="8"/>
  <c r="A31" i="8"/>
  <c r="A6" i="8"/>
  <c r="A69" i="8"/>
  <c r="A70" i="8"/>
  <c r="A33" i="8"/>
  <c r="A9" i="8"/>
  <c r="A61" i="8"/>
  <c r="A65" i="8"/>
  <c r="A37" i="8"/>
  <c r="A29" i="8"/>
  <c r="A8" i="8"/>
  <c r="A17" i="8"/>
  <c r="A19" i="8"/>
  <c r="A22" i="8"/>
  <c r="A24" i="8"/>
  <c r="A35" i="8"/>
  <c r="A38" i="8"/>
  <c r="A40" i="8"/>
  <c r="A49" i="8"/>
  <c r="A51" i="8"/>
  <c r="A54" i="8"/>
  <c r="A56" i="8"/>
  <c r="A67" i="8"/>
  <c r="A30" i="8"/>
  <c r="A57" i="8"/>
  <c r="A7" i="8"/>
  <c r="A10" i="8"/>
  <c r="A12" i="8"/>
  <c r="A21" i="8"/>
  <c r="A23" i="8"/>
  <c r="A26" i="8"/>
  <c r="A28" i="8"/>
  <c r="A39" i="8"/>
  <c r="A42" i="8"/>
  <c r="A44" i="8"/>
  <c r="A53" i="8"/>
  <c r="A55" i="8"/>
  <c r="A58" i="8"/>
  <c r="A60" i="8"/>
  <c r="A7" i="6" l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" i="5"/>
  <c r="G83" i="3" l="1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G6" i="3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K6" i="4"/>
  <c r="J529" i="2"/>
  <c r="J528" i="2"/>
  <c r="M527" i="2"/>
  <c r="J527" i="2"/>
  <c r="M526" i="2"/>
  <c r="J526" i="2"/>
  <c r="M525" i="2"/>
  <c r="J525" i="2"/>
  <c r="M524" i="2"/>
  <c r="J524" i="2"/>
  <c r="M523" i="2"/>
  <c r="J523" i="2"/>
  <c r="O522" i="2"/>
  <c r="M522" i="2"/>
  <c r="P522" i="2" s="1"/>
  <c r="J522" i="2"/>
  <c r="J521" i="2"/>
  <c r="J520" i="2"/>
  <c r="M519" i="2"/>
  <c r="J519" i="2"/>
  <c r="M518" i="2"/>
  <c r="J518" i="2"/>
  <c r="M517" i="2"/>
  <c r="J517" i="2"/>
  <c r="M516" i="2"/>
  <c r="J516" i="2"/>
  <c r="M515" i="2"/>
  <c r="J515" i="2"/>
  <c r="O514" i="2"/>
  <c r="M514" i="2"/>
  <c r="P514" i="2" s="1"/>
  <c r="J514" i="2"/>
  <c r="J513" i="2"/>
  <c r="J512" i="2"/>
  <c r="M511" i="2"/>
  <c r="J511" i="2"/>
  <c r="M510" i="2"/>
  <c r="J510" i="2"/>
  <c r="M509" i="2"/>
  <c r="J509" i="2"/>
  <c r="M508" i="2"/>
  <c r="J508" i="2"/>
  <c r="M507" i="2"/>
  <c r="J507" i="2"/>
  <c r="O506" i="2"/>
  <c r="M506" i="2"/>
  <c r="P506" i="2" s="1"/>
  <c r="J506" i="2"/>
  <c r="J505" i="2"/>
  <c r="J504" i="2"/>
  <c r="M503" i="2"/>
  <c r="J503" i="2"/>
  <c r="M502" i="2"/>
  <c r="J502" i="2"/>
  <c r="M501" i="2"/>
  <c r="J501" i="2"/>
  <c r="M500" i="2"/>
  <c r="J500" i="2"/>
  <c r="M499" i="2"/>
  <c r="J499" i="2"/>
  <c r="O498" i="2"/>
  <c r="M498" i="2"/>
  <c r="P498" i="2" s="1"/>
  <c r="J498" i="2"/>
  <c r="J497" i="2"/>
  <c r="J496" i="2"/>
  <c r="M495" i="2"/>
  <c r="J495" i="2"/>
  <c r="M494" i="2"/>
  <c r="J494" i="2"/>
  <c r="M493" i="2"/>
  <c r="J493" i="2"/>
  <c r="M492" i="2"/>
  <c r="J492" i="2"/>
  <c r="M491" i="2"/>
  <c r="J491" i="2"/>
  <c r="O490" i="2"/>
  <c r="M490" i="2"/>
  <c r="P490" i="2" s="1"/>
  <c r="J490" i="2"/>
  <c r="J489" i="2"/>
  <c r="J488" i="2"/>
  <c r="M487" i="2"/>
  <c r="J487" i="2"/>
  <c r="M486" i="2"/>
  <c r="J486" i="2"/>
  <c r="M485" i="2"/>
  <c r="J485" i="2"/>
  <c r="M484" i="2"/>
  <c r="J484" i="2"/>
  <c r="M483" i="2"/>
  <c r="J483" i="2"/>
  <c r="O482" i="2"/>
  <c r="M482" i="2"/>
  <c r="P482" i="2" s="1"/>
  <c r="J482" i="2"/>
  <c r="J481" i="2"/>
  <c r="J480" i="2"/>
  <c r="M479" i="2"/>
  <c r="J479" i="2"/>
  <c r="M478" i="2"/>
  <c r="J478" i="2"/>
  <c r="M477" i="2"/>
  <c r="J477" i="2"/>
  <c r="M476" i="2"/>
  <c r="J476" i="2"/>
  <c r="M475" i="2"/>
  <c r="J475" i="2"/>
  <c r="O474" i="2"/>
  <c r="M474" i="2"/>
  <c r="P474" i="2" s="1"/>
  <c r="J474" i="2"/>
  <c r="J473" i="2"/>
  <c r="J472" i="2"/>
  <c r="M471" i="2"/>
  <c r="J471" i="2"/>
  <c r="M470" i="2"/>
  <c r="J470" i="2"/>
  <c r="M469" i="2"/>
  <c r="J469" i="2"/>
  <c r="M468" i="2"/>
  <c r="J468" i="2"/>
  <c r="M467" i="2"/>
  <c r="J467" i="2"/>
  <c r="O466" i="2"/>
  <c r="M466" i="2"/>
  <c r="P466" i="2" s="1"/>
  <c r="J466" i="2"/>
  <c r="J465" i="2"/>
  <c r="J464" i="2"/>
  <c r="M463" i="2"/>
  <c r="J463" i="2"/>
  <c r="M462" i="2"/>
  <c r="J462" i="2"/>
  <c r="M461" i="2"/>
  <c r="J461" i="2"/>
  <c r="M460" i="2"/>
  <c r="J460" i="2"/>
  <c r="M459" i="2"/>
  <c r="J459" i="2"/>
  <c r="O458" i="2"/>
  <c r="M458" i="2"/>
  <c r="P458" i="2" s="1"/>
  <c r="J458" i="2"/>
  <c r="J457" i="2"/>
  <c r="J456" i="2"/>
  <c r="M455" i="2"/>
  <c r="J455" i="2"/>
  <c r="M454" i="2"/>
  <c r="J454" i="2"/>
  <c r="M453" i="2"/>
  <c r="J453" i="2"/>
  <c r="M452" i="2"/>
  <c r="J452" i="2"/>
  <c r="M451" i="2"/>
  <c r="J451" i="2"/>
  <c r="O450" i="2"/>
  <c r="M450" i="2"/>
  <c r="P450" i="2" s="1"/>
  <c r="J450" i="2"/>
  <c r="J449" i="2"/>
  <c r="J448" i="2"/>
  <c r="M447" i="2"/>
  <c r="J447" i="2"/>
  <c r="M446" i="2"/>
  <c r="J446" i="2"/>
  <c r="M445" i="2"/>
  <c r="J445" i="2"/>
  <c r="M444" i="2"/>
  <c r="J444" i="2"/>
  <c r="M443" i="2"/>
  <c r="J443" i="2"/>
  <c r="O442" i="2"/>
  <c r="M442" i="2"/>
  <c r="P442" i="2" s="1"/>
  <c r="J442" i="2"/>
  <c r="J441" i="2"/>
  <c r="J440" i="2"/>
  <c r="M439" i="2"/>
  <c r="J439" i="2"/>
  <c r="M438" i="2"/>
  <c r="J438" i="2"/>
  <c r="M437" i="2"/>
  <c r="J437" i="2"/>
  <c r="M436" i="2"/>
  <c r="J436" i="2"/>
  <c r="M435" i="2"/>
  <c r="J435" i="2"/>
  <c r="O434" i="2"/>
  <c r="M434" i="2"/>
  <c r="P434" i="2" s="1"/>
  <c r="J434" i="2"/>
  <c r="J433" i="2"/>
  <c r="J432" i="2"/>
  <c r="M431" i="2"/>
  <c r="J431" i="2"/>
  <c r="M430" i="2"/>
  <c r="J430" i="2"/>
  <c r="M429" i="2"/>
  <c r="J429" i="2"/>
  <c r="M428" i="2"/>
  <c r="J428" i="2"/>
  <c r="M427" i="2"/>
  <c r="J427" i="2"/>
  <c r="O426" i="2"/>
  <c r="M426" i="2"/>
  <c r="P426" i="2" s="1"/>
  <c r="J426" i="2"/>
  <c r="J425" i="2"/>
  <c r="J424" i="2"/>
  <c r="M423" i="2"/>
  <c r="J423" i="2"/>
  <c r="M422" i="2"/>
  <c r="J422" i="2"/>
  <c r="M421" i="2"/>
  <c r="J421" i="2"/>
  <c r="M420" i="2"/>
  <c r="J420" i="2"/>
  <c r="M419" i="2"/>
  <c r="J419" i="2"/>
  <c r="O418" i="2"/>
  <c r="M418" i="2"/>
  <c r="P418" i="2" s="1"/>
  <c r="J418" i="2"/>
  <c r="J417" i="2"/>
  <c r="J416" i="2"/>
  <c r="M415" i="2"/>
  <c r="J415" i="2"/>
  <c r="M414" i="2"/>
  <c r="J414" i="2"/>
  <c r="M413" i="2"/>
  <c r="J413" i="2"/>
  <c r="M412" i="2"/>
  <c r="J412" i="2"/>
  <c r="M411" i="2"/>
  <c r="J411" i="2"/>
  <c r="O410" i="2"/>
  <c r="M410" i="2"/>
  <c r="P410" i="2" s="1"/>
  <c r="J410" i="2"/>
  <c r="J409" i="2"/>
  <c r="J408" i="2"/>
  <c r="M407" i="2"/>
  <c r="J407" i="2"/>
  <c r="M406" i="2"/>
  <c r="J406" i="2"/>
  <c r="M405" i="2"/>
  <c r="J405" i="2"/>
  <c r="M404" i="2"/>
  <c r="J404" i="2"/>
  <c r="M403" i="2"/>
  <c r="J403" i="2"/>
  <c r="O402" i="2"/>
  <c r="M402" i="2"/>
  <c r="P402" i="2" s="1"/>
  <c r="J402" i="2"/>
  <c r="J401" i="2"/>
  <c r="J400" i="2"/>
  <c r="M399" i="2"/>
  <c r="J399" i="2"/>
  <c r="M398" i="2"/>
  <c r="J398" i="2"/>
  <c r="M397" i="2"/>
  <c r="J397" i="2"/>
  <c r="M396" i="2"/>
  <c r="J396" i="2"/>
  <c r="M395" i="2"/>
  <c r="J395" i="2"/>
  <c r="O394" i="2"/>
  <c r="M394" i="2"/>
  <c r="P394" i="2" s="1"/>
  <c r="J394" i="2"/>
  <c r="J393" i="2"/>
  <c r="J392" i="2"/>
  <c r="M391" i="2"/>
  <c r="J391" i="2"/>
  <c r="M390" i="2"/>
  <c r="J390" i="2"/>
  <c r="M389" i="2"/>
  <c r="J389" i="2"/>
  <c r="M388" i="2"/>
  <c r="J388" i="2"/>
  <c r="M387" i="2"/>
  <c r="J387" i="2"/>
  <c r="O386" i="2"/>
  <c r="M386" i="2"/>
  <c r="P386" i="2" s="1"/>
  <c r="J386" i="2"/>
  <c r="J385" i="2"/>
  <c r="J384" i="2"/>
  <c r="M383" i="2"/>
  <c r="J383" i="2"/>
  <c r="M382" i="2"/>
  <c r="J382" i="2"/>
  <c r="M381" i="2"/>
  <c r="J381" i="2"/>
  <c r="M380" i="2"/>
  <c r="J380" i="2"/>
  <c r="M379" i="2"/>
  <c r="J379" i="2"/>
  <c r="O378" i="2"/>
  <c r="M378" i="2"/>
  <c r="P378" i="2" s="1"/>
  <c r="J378" i="2"/>
  <c r="J377" i="2"/>
  <c r="J376" i="2"/>
  <c r="M375" i="2"/>
  <c r="J375" i="2"/>
  <c r="M374" i="2"/>
  <c r="J374" i="2"/>
  <c r="M373" i="2"/>
  <c r="J373" i="2"/>
  <c r="M372" i="2"/>
  <c r="J372" i="2"/>
  <c r="M371" i="2"/>
  <c r="J371" i="2"/>
  <c r="O370" i="2"/>
  <c r="M370" i="2"/>
  <c r="P370" i="2" s="1"/>
  <c r="J370" i="2"/>
  <c r="J369" i="2"/>
  <c r="J368" i="2"/>
  <c r="M367" i="2"/>
  <c r="J367" i="2"/>
  <c r="M366" i="2"/>
  <c r="J366" i="2"/>
  <c r="M365" i="2"/>
  <c r="J365" i="2"/>
  <c r="M364" i="2"/>
  <c r="J364" i="2"/>
  <c r="M363" i="2"/>
  <c r="J363" i="2"/>
  <c r="O362" i="2"/>
  <c r="M362" i="2"/>
  <c r="P362" i="2" s="1"/>
  <c r="J362" i="2"/>
  <c r="J361" i="2"/>
  <c r="J360" i="2"/>
  <c r="M359" i="2"/>
  <c r="J359" i="2"/>
  <c r="M358" i="2"/>
  <c r="J358" i="2"/>
  <c r="M357" i="2"/>
  <c r="J357" i="2"/>
  <c r="M356" i="2"/>
  <c r="J356" i="2"/>
  <c r="M355" i="2"/>
  <c r="J355" i="2"/>
  <c r="O354" i="2"/>
  <c r="M354" i="2"/>
  <c r="P354" i="2" s="1"/>
  <c r="J354" i="2"/>
  <c r="J353" i="2"/>
  <c r="J352" i="2"/>
  <c r="M351" i="2"/>
  <c r="J351" i="2"/>
  <c r="M350" i="2"/>
  <c r="J350" i="2"/>
  <c r="M349" i="2"/>
  <c r="J349" i="2"/>
  <c r="M348" i="2"/>
  <c r="J348" i="2"/>
  <c r="M347" i="2"/>
  <c r="J347" i="2"/>
  <c r="O346" i="2"/>
  <c r="M346" i="2"/>
  <c r="P346" i="2" s="1"/>
  <c r="J346" i="2"/>
  <c r="J345" i="2"/>
  <c r="J344" i="2"/>
  <c r="M343" i="2"/>
  <c r="J343" i="2"/>
  <c r="M342" i="2"/>
  <c r="J342" i="2"/>
  <c r="M341" i="2"/>
  <c r="J341" i="2"/>
  <c r="M340" i="2"/>
  <c r="J340" i="2"/>
  <c r="M339" i="2"/>
  <c r="J339" i="2"/>
  <c r="O338" i="2"/>
  <c r="M338" i="2"/>
  <c r="P338" i="2" s="1"/>
  <c r="J338" i="2"/>
  <c r="J337" i="2"/>
  <c r="J336" i="2"/>
  <c r="M335" i="2"/>
  <c r="J335" i="2"/>
  <c r="M334" i="2"/>
  <c r="J334" i="2"/>
  <c r="M333" i="2"/>
  <c r="J333" i="2"/>
  <c r="M332" i="2"/>
  <c r="J332" i="2"/>
  <c r="M331" i="2"/>
  <c r="J331" i="2"/>
  <c r="O330" i="2"/>
  <c r="M330" i="2"/>
  <c r="P330" i="2" s="1"/>
  <c r="J330" i="2"/>
  <c r="J329" i="2"/>
  <c r="J328" i="2"/>
  <c r="M327" i="2"/>
  <c r="J327" i="2"/>
  <c r="M326" i="2"/>
  <c r="J326" i="2"/>
  <c r="M325" i="2"/>
  <c r="J325" i="2"/>
  <c r="M324" i="2"/>
  <c r="J324" i="2"/>
  <c r="M323" i="2"/>
  <c r="J323" i="2"/>
  <c r="O322" i="2"/>
  <c r="M322" i="2"/>
  <c r="P322" i="2" s="1"/>
  <c r="J322" i="2"/>
  <c r="J321" i="2"/>
  <c r="J320" i="2"/>
  <c r="M319" i="2"/>
  <c r="J319" i="2"/>
  <c r="M318" i="2"/>
  <c r="J318" i="2"/>
  <c r="M317" i="2"/>
  <c r="J317" i="2"/>
  <c r="M316" i="2"/>
  <c r="J316" i="2"/>
  <c r="M315" i="2"/>
  <c r="J315" i="2"/>
  <c r="O314" i="2"/>
  <c r="M314" i="2"/>
  <c r="P314" i="2" s="1"/>
  <c r="J314" i="2"/>
  <c r="J313" i="2"/>
  <c r="J312" i="2"/>
  <c r="M311" i="2"/>
  <c r="J311" i="2"/>
  <c r="M310" i="2"/>
  <c r="J310" i="2"/>
  <c r="M309" i="2"/>
  <c r="J309" i="2"/>
  <c r="M308" i="2"/>
  <c r="J308" i="2"/>
  <c r="M307" i="2"/>
  <c r="J307" i="2"/>
  <c r="O306" i="2"/>
  <c r="M306" i="2"/>
  <c r="P306" i="2" s="1"/>
  <c r="J306" i="2"/>
  <c r="J305" i="2"/>
  <c r="J304" i="2"/>
  <c r="M303" i="2"/>
  <c r="J303" i="2"/>
  <c r="M302" i="2"/>
  <c r="J302" i="2"/>
  <c r="M301" i="2"/>
  <c r="J301" i="2"/>
  <c r="M300" i="2"/>
  <c r="J300" i="2"/>
  <c r="M299" i="2"/>
  <c r="J299" i="2"/>
  <c r="O298" i="2"/>
  <c r="M298" i="2"/>
  <c r="P298" i="2" s="1"/>
  <c r="J298" i="2"/>
  <c r="J297" i="2"/>
  <c r="J296" i="2"/>
  <c r="M295" i="2"/>
  <c r="J295" i="2"/>
  <c r="M294" i="2"/>
  <c r="J294" i="2"/>
  <c r="M293" i="2"/>
  <c r="J293" i="2"/>
  <c r="M292" i="2"/>
  <c r="J292" i="2"/>
  <c r="M291" i="2"/>
  <c r="J291" i="2"/>
  <c r="O290" i="2"/>
  <c r="M290" i="2"/>
  <c r="P290" i="2" s="1"/>
  <c r="J290" i="2"/>
  <c r="J289" i="2"/>
  <c r="J288" i="2"/>
  <c r="M287" i="2"/>
  <c r="J287" i="2"/>
  <c r="M286" i="2"/>
  <c r="J286" i="2"/>
  <c r="M285" i="2"/>
  <c r="J285" i="2"/>
  <c r="M284" i="2"/>
  <c r="J284" i="2"/>
  <c r="M283" i="2"/>
  <c r="J283" i="2"/>
  <c r="O282" i="2"/>
  <c r="M282" i="2"/>
  <c r="P282" i="2" s="1"/>
  <c r="J282" i="2"/>
  <c r="J281" i="2"/>
  <c r="J280" i="2"/>
  <c r="M279" i="2"/>
  <c r="J279" i="2"/>
  <c r="M278" i="2"/>
  <c r="J278" i="2"/>
  <c r="M277" i="2"/>
  <c r="J277" i="2"/>
  <c r="M276" i="2"/>
  <c r="J276" i="2"/>
  <c r="M275" i="2"/>
  <c r="J275" i="2"/>
  <c r="O274" i="2"/>
  <c r="M274" i="2"/>
  <c r="P274" i="2" s="1"/>
  <c r="J274" i="2"/>
  <c r="J273" i="2"/>
  <c r="J272" i="2"/>
  <c r="M271" i="2"/>
  <c r="J271" i="2"/>
  <c r="M270" i="2"/>
  <c r="J270" i="2"/>
  <c r="M269" i="2"/>
  <c r="J269" i="2"/>
  <c r="M268" i="2"/>
  <c r="J268" i="2"/>
  <c r="M267" i="2"/>
  <c r="J267" i="2"/>
  <c r="O266" i="2"/>
  <c r="M266" i="2"/>
  <c r="P266" i="2" s="1"/>
  <c r="J266" i="2"/>
  <c r="J265" i="2"/>
  <c r="J264" i="2"/>
  <c r="M263" i="2"/>
  <c r="J263" i="2"/>
  <c r="M262" i="2"/>
  <c r="J262" i="2"/>
  <c r="M261" i="2"/>
  <c r="J261" i="2"/>
  <c r="M260" i="2"/>
  <c r="J260" i="2"/>
  <c r="M259" i="2"/>
  <c r="J259" i="2"/>
  <c r="O258" i="2"/>
  <c r="M258" i="2"/>
  <c r="P258" i="2" s="1"/>
  <c r="J258" i="2"/>
  <c r="J257" i="2"/>
  <c r="J256" i="2"/>
  <c r="M255" i="2"/>
  <c r="J255" i="2"/>
  <c r="M254" i="2"/>
  <c r="J254" i="2"/>
  <c r="M253" i="2"/>
  <c r="J253" i="2"/>
  <c r="M252" i="2"/>
  <c r="J252" i="2"/>
  <c r="M251" i="2"/>
  <c r="J251" i="2"/>
  <c r="O250" i="2"/>
  <c r="M250" i="2"/>
  <c r="P250" i="2" s="1"/>
  <c r="J250" i="2"/>
  <c r="J249" i="2"/>
  <c r="J248" i="2"/>
  <c r="M247" i="2"/>
  <c r="J247" i="2"/>
  <c r="M246" i="2"/>
  <c r="J246" i="2"/>
  <c r="M245" i="2"/>
  <c r="J245" i="2"/>
  <c r="M244" i="2"/>
  <c r="J244" i="2"/>
  <c r="M243" i="2"/>
  <c r="J243" i="2"/>
  <c r="O242" i="2"/>
  <c r="M242" i="2"/>
  <c r="P242" i="2" s="1"/>
  <c r="J242" i="2"/>
  <c r="J241" i="2"/>
  <c r="J240" i="2"/>
  <c r="M239" i="2"/>
  <c r="J239" i="2"/>
  <c r="M238" i="2"/>
  <c r="J238" i="2"/>
  <c r="M237" i="2"/>
  <c r="J237" i="2"/>
  <c r="M236" i="2"/>
  <c r="J236" i="2"/>
  <c r="M235" i="2"/>
  <c r="J235" i="2"/>
  <c r="O234" i="2"/>
  <c r="M234" i="2"/>
  <c r="P234" i="2" s="1"/>
  <c r="J234" i="2"/>
  <c r="J233" i="2"/>
  <c r="J232" i="2"/>
  <c r="M231" i="2"/>
  <c r="J231" i="2"/>
  <c r="M230" i="2"/>
  <c r="J230" i="2"/>
  <c r="M229" i="2"/>
  <c r="J229" i="2"/>
  <c r="M228" i="2"/>
  <c r="J228" i="2"/>
  <c r="M227" i="2"/>
  <c r="J227" i="2"/>
  <c r="O226" i="2"/>
  <c r="M226" i="2"/>
  <c r="P226" i="2" s="1"/>
  <c r="J226" i="2"/>
  <c r="J225" i="2"/>
  <c r="J224" i="2"/>
  <c r="M223" i="2"/>
  <c r="J223" i="2"/>
  <c r="M222" i="2"/>
  <c r="J222" i="2"/>
  <c r="M221" i="2"/>
  <c r="J221" i="2"/>
  <c r="M220" i="2"/>
  <c r="J220" i="2"/>
  <c r="M219" i="2"/>
  <c r="J219" i="2"/>
  <c r="O218" i="2"/>
  <c r="M218" i="2"/>
  <c r="P218" i="2" s="1"/>
  <c r="J218" i="2"/>
  <c r="J217" i="2"/>
  <c r="J216" i="2"/>
  <c r="M215" i="2"/>
  <c r="J215" i="2"/>
  <c r="M214" i="2"/>
  <c r="J214" i="2"/>
  <c r="M213" i="2"/>
  <c r="J213" i="2"/>
  <c r="M212" i="2"/>
  <c r="J212" i="2"/>
  <c r="M211" i="2"/>
  <c r="J211" i="2"/>
  <c r="O210" i="2"/>
  <c r="M210" i="2"/>
  <c r="P210" i="2" s="1"/>
  <c r="J210" i="2"/>
  <c r="J209" i="2"/>
  <c r="J208" i="2"/>
  <c r="M207" i="2"/>
  <c r="J207" i="2"/>
  <c r="M206" i="2"/>
  <c r="J206" i="2"/>
  <c r="M205" i="2"/>
  <c r="J205" i="2"/>
  <c r="M204" i="2"/>
  <c r="J204" i="2"/>
  <c r="M203" i="2"/>
  <c r="J203" i="2"/>
  <c r="O202" i="2"/>
  <c r="M202" i="2"/>
  <c r="P202" i="2" s="1"/>
  <c r="J202" i="2"/>
  <c r="J201" i="2"/>
  <c r="J200" i="2"/>
  <c r="M199" i="2"/>
  <c r="J199" i="2"/>
  <c r="M198" i="2"/>
  <c r="J198" i="2"/>
  <c r="M197" i="2"/>
  <c r="J197" i="2"/>
  <c r="M196" i="2"/>
  <c r="J196" i="2"/>
  <c r="M195" i="2"/>
  <c r="J195" i="2"/>
  <c r="O194" i="2"/>
  <c r="M194" i="2"/>
  <c r="P194" i="2" s="1"/>
  <c r="J194" i="2"/>
  <c r="J193" i="2"/>
  <c r="J192" i="2"/>
  <c r="M191" i="2"/>
  <c r="J191" i="2"/>
  <c r="M190" i="2"/>
  <c r="J190" i="2"/>
  <c r="M189" i="2"/>
  <c r="J189" i="2"/>
  <c r="M188" i="2"/>
  <c r="J188" i="2"/>
  <c r="M187" i="2"/>
  <c r="J187" i="2"/>
  <c r="O186" i="2"/>
  <c r="M186" i="2"/>
  <c r="P186" i="2" s="1"/>
  <c r="J186" i="2"/>
  <c r="J185" i="2"/>
  <c r="J184" i="2"/>
  <c r="M183" i="2"/>
  <c r="J183" i="2"/>
  <c r="M182" i="2"/>
  <c r="J182" i="2"/>
  <c r="M181" i="2"/>
  <c r="J181" i="2"/>
  <c r="M180" i="2"/>
  <c r="J180" i="2"/>
  <c r="M179" i="2"/>
  <c r="J179" i="2"/>
  <c r="O178" i="2"/>
  <c r="M178" i="2"/>
  <c r="P178" i="2" s="1"/>
  <c r="J178" i="2"/>
  <c r="J177" i="2"/>
  <c r="J176" i="2"/>
  <c r="M175" i="2"/>
  <c r="J175" i="2"/>
  <c r="M174" i="2"/>
  <c r="J174" i="2"/>
  <c r="M173" i="2"/>
  <c r="J173" i="2"/>
  <c r="M172" i="2"/>
  <c r="J172" i="2"/>
  <c r="M171" i="2"/>
  <c r="J171" i="2"/>
  <c r="O170" i="2"/>
  <c r="M170" i="2"/>
  <c r="P170" i="2" s="1"/>
  <c r="J170" i="2"/>
  <c r="J169" i="2"/>
  <c r="J168" i="2"/>
  <c r="M167" i="2"/>
  <c r="J167" i="2"/>
  <c r="M166" i="2"/>
  <c r="J166" i="2"/>
  <c r="M165" i="2"/>
  <c r="J165" i="2"/>
  <c r="M164" i="2"/>
  <c r="J164" i="2"/>
  <c r="M163" i="2"/>
  <c r="J163" i="2"/>
  <c r="O162" i="2"/>
  <c r="M162" i="2"/>
  <c r="P162" i="2" s="1"/>
  <c r="J162" i="2"/>
  <c r="J161" i="2"/>
  <c r="J160" i="2"/>
  <c r="M159" i="2"/>
  <c r="J159" i="2"/>
  <c r="M158" i="2"/>
  <c r="J158" i="2"/>
  <c r="M157" i="2"/>
  <c r="J157" i="2"/>
  <c r="M156" i="2"/>
  <c r="J156" i="2"/>
  <c r="M155" i="2"/>
  <c r="J155" i="2"/>
  <c r="O154" i="2"/>
  <c r="M154" i="2"/>
  <c r="P154" i="2" s="1"/>
  <c r="J154" i="2"/>
  <c r="J153" i="2"/>
  <c r="J152" i="2"/>
  <c r="M151" i="2"/>
  <c r="J151" i="2"/>
  <c r="M150" i="2"/>
  <c r="J150" i="2"/>
  <c r="M149" i="2"/>
  <c r="J149" i="2"/>
  <c r="M148" i="2"/>
  <c r="J148" i="2"/>
  <c r="M147" i="2"/>
  <c r="J147" i="2"/>
  <c r="O146" i="2"/>
  <c r="M146" i="2"/>
  <c r="P146" i="2" s="1"/>
  <c r="J146" i="2"/>
  <c r="J145" i="2"/>
  <c r="J144" i="2"/>
  <c r="M143" i="2"/>
  <c r="J143" i="2"/>
  <c r="M142" i="2"/>
  <c r="J142" i="2"/>
  <c r="M141" i="2"/>
  <c r="J141" i="2"/>
  <c r="M140" i="2"/>
  <c r="J140" i="2"/>
  <c r="M139" i="2"/>
  <c r="J139" i="2"/>
  <c r="O138" i="2"/>
  <c r="M138" i="2"/>
  <c r="P138" i="2" s="1"/>
  <c r="J138" i="2"/>
  <c r="J137" i="2"/>
  <c r="J136" i="2"/>
  <c r="M135" i="2"/>
  <c r="J135" i="2"/>
  <c r="M134" i="2"/>
  <c r="J134" i="2"/>
  <c r="M133" i="2"/>
  <c r="J133" i="2"/>
  <c r="M132" i="2"/>
  <c r="J132" i="2"/>
  <c r="M131" i="2"/>
  <c r="J131" i="2"/>
  <c r="O130" i="2"/>
  <c r="M130" i="2"/>
  <c r="P130" i="2" s="1"/>
  <c r="J130" i="2"/>
  <c r="J129" i="2"/>
  <c r="J128" i="2"/>
  <c r="M127" i="2"/>
  <c r="J127" i="2"/>
  <c r="M126" i="2"/>
  <c r="J126" i="2"/>
  <c r="M125" i="2"/>
  <c r="J125" i="2"/>
  <c r="M124" i="2"/>
  <c r="J124" i="2"/>
  <c r="M123" i="2"/>
  <c r="J123" i="2"/>
  <c r="O122" i="2"/>
  <c r="M122" i="2"/>
  <c r="P122" i="2" s="1"/>
  <c r="J122" i="2"/>
  <c r="J121" i="2"/>
  <c r="J120" i="2"/>
  <c r="M119" i="2"/>
  <c r="J119" i="2"/>
  <c r="M118" i="2"/>
  <c r="J118" i="2"/>
  <c r="M117" i="2"/>
  <c r="J117" i="2"/>
  <c r="M116" i="2"/>
  <c r="J116" i="2"/>
  <c r="M115" i="2"/>
  <c r="J115" i="2"/>
  <c r="O114" i="2"/>
  <c r="M114" i="2"/>
  <c r="P114" i="2" s="1"/>
  <c r="J114" i="2"/>
  <c r="J113" i="2"/>
  <c r="J112" i="2"/>
  <c r="M111" i="2"/>
  <c r="J111" i="2"/>
  <c r="M110" i="2"/>
  <c r="J110" i="2"/>
  <c r="M109" i="2"/>
  <c r="J109" i="2"/>
  <c r="M108" i="2"/>
  <c r="J108" i="2"/>
  <c r="M107" i="2"/>
  <c r="J107" i="2"/>
  <c r="O106" i="2"/>
  <c r="M106" i="2"/>
  <c r="P106" i="2" s="1"/>
  <c r="J106" i="2"/>
  <c r="J105" i="2"/>
  <c r="J104" i="2"/>
  <c r="M103" i="2"/>
  <c r="J103" i="2"/>
  <c r="M102" i="2"/>
  <c r="J102" i="2"/>
  <c r="M101" i="2"/>
  <c r="J101" i="2"/>
  <c r="M100" i="2"/>
  <c r="J100" i="2"/>
  <c r="M99" i="2"/>
  <c r="J99" i="2"/>
  <c r="O98" i="2"/>
  <c r="M98" i="2"/>
  <c r="P98" i="2" s="1"/>
  <c r="J98" i="2"/>
  <c r="J97" i="2"/>
  <c r="J96" i="2"/>
  <c r="M95" i="2"/>
  <c r="J95" i="2"/>
  <c r="M94" i="2"/>
  <c r="J94" i="2"/>
  <c r="M93" i="2"/>
  <c r="J93" i="2"/>
  <c r="M92" i="2"/>
  <c r="J92" i="2"/>
  <c r="M91" i="2"/>
  <c r="J91" i="2"/>
  <c r="O90" i="2"/>
  <c r="M90" i="2"/>
  <c r="P90" i="2" s="1"/>
  <c r="J90" i="2"/>
  <c r="J89" i="2"/>
  <c r="J88" i="2"/>
  <c r="M87" i="2"/>
  <c r="J87" i="2"/>
  <c r="M86" i="2"/>
  <c r="J86" i="2"/>
  <c r="M85" i="2"/>
  <c r="J85" i="2"/>
  <c r="M84" i="2"/>
  <c r="J84" i="2"/>
  <c r="M83" i="2"/>
  <c r="J83" i="2"/>
  <c r="O82" i="2"/>
  <c r="M82" i="2"/>
  <c r="P82" i="2" s="1"/>
  <c r="J82" i="2"/>
  <c r="J81" i="2"/>
  <c r="J80" i="2"/>
  <c r="M79" i="2"/>
  <c r="J79" i="2"/>
  <c r="M78" i="2"/>
  <c r="J78" i="2"/>
  <c r="M77" i="2"/>
  <c r="J77" i="2"/>
  <c r="M76" i="2"/>
  <c r="J76" i="2"/>
  <c r="M75" i="2"/>
  <c r="J75" i="2"/>
  <c r="O74" i="2"/>
  <c r="M74" i="2"/>
  <c r="P74" i="2" s="1"/>
  <c r="J74" i="2"/>
  <c r="J73" i="2"/>
  <c r="J72" i="2"/>
  <c r="M71" i="2"/>
  <c r="J71" i="2"/>
  <c r="M70" i="2"/>
  <c r="J70" i="2"/>
  <c r="M69" i="2"/>
  <c r="J69" i="2"/>
  <c r="M68" i="2"/>
  <c r="J68" i="2"/>
  <c r="M67" i="2"/>
  <c r="J67" i="2"/>
  <c r="O66" i="2"/>
  <c r="M66" i="2"/>
  <c r="P66" i="2" s="1"/>
  <c r="J66" i="2"/>
  <c r="J65" i="2"/>
  <c r="J64" i="2"/>
  <c r="M63" i="2"/>
  <c r="J63" i="2"/>
  <c r="M62" i="2"/>
  <c r="J62" i="2"/>
  <c r="M61" i="2"/>
  <c r="J61" i="2"/>
  <c r="M60" i="2"/>
  <c r="J60" i="2"/>
  <c r="M59" i="2"/>
  <c r="J59" i="2"/>
  <c r="O58" i="2"/>
  <c r="M58" i="2"/>
  <c r="P58" i="2" s="1"/>
  <c r="J58" i="2"/>
  <c r="J57" i="2"/>
  <c r="J56" i="2"/>
  <c r="M55" i="2"/>
  <c r="J55" i="2"/>
  <c r="M54" i="2"/>
  <c r="J54" i="2"/>
  <c r="M53" i="2"/>
  <c r="J53" i="2"/>
  <c r="M52" i="2"/>
  <c r="J52" i="2"/>
  <c r="M51" i="2"/>
  <c r="J51" i="2"/>
  <c r="O50" i="2"/>
  <c r="M50" i="2"/>
  <c r="P50" i="2" s="1"/>
  <c r="J50" i="2"/>
  <c r="J49" i="2"/>
  <c r="J48" i="2"/>
  <c r="M47" i="2"/>
  <c r="J47" i="2"/>
  <c r="M46" i="2"/>
  <c r="J46" i="2"/>
  <c r="M45" i="2"/>
  <c r="J45" i="2"/>
  <c r="M44" i="2"/>
  <c r="J44" i="2"/>
  <c r="M43" i="2"/>
  <c r="J43" i="2"/>
  <c r="O42" i="2"/>
  <c r="M42" i="2"/>
  <c r="P42" i="2" s="1"/>
  <c r="J42" i="2"/>
  <c r="J41" i="2"/>
  <c r="J40" i="2"/>
  <c r="M39" i="2"/>
  <c r="J39" i="2"/>
  <c r="M38" i="2"/>
  <c r="J38" i="2"/>
  <c r="M37" i="2"/>
  <c r="J37" i="2"/>
  <c r="M36" i="2"/>
  <c r="J36" i="2"/>
  <c r="M35" i="2"/>
  <c r="J35" i="2"/>
  <c r="O34" i="2"/>
  <c r="M34" i="2"/>
  <c r="P34" i="2" s="1"/>
  <c r="J34" i="2"/>
  <c r="J33" i="2"/>
  <c r="J32" i="2"/>
  <c r="M31" i="2"/>
  <c r="J31" i="2"/>
  <c r="M30" i="2"/>
  <c r="J30" i="2"/>
  <c r="M29" i="2"/>
  <c r="J29" i="2"/>
  <c r="M28" i="2"/>
  <c r="J28" i="2"/>
  <c r="M27" i="2"/>
  <c r="J27" i="2"/>
  <c r="O26" i="2"/>
  <c r="M26" i="2"/>
  <c r="P26" i="2" s="1"/>
  <c r="J26" i="2"/>
  <c r="J25" i="2"/>
  <c r="J24" i="2"/>
  <c r="M23" i="2"/>
  <c r="J23" i="2"/>
  <c r="M22" i="2"/>
  <c r="J22" i="2"/>
  <c r="M21" i="2"/>
  <c r="J21" i="2"/>
  <c r="M20" i="2"/>
  <c r="J20" i="2"/>
  <c r="M19" i="2"/>
  <c r="J19" i="2"/>
  <c r="O18" i="2"/>
  <c r="M18" i="2"/>
  <c r="P18" i="2" s="1"/>
  <c r="J18" i="2"/>
  <c r="J17" i="2"/>
  <c r="J16" i="2"/>
  <c r="M15" i="2"/>
  <c r="J15" i="2"/>
  <c r="M14" i="2"/>
  <c r="J14" i="2"/>
  <c r="M13" i="2"/>
  <c r="J13" i="2"/>
  <c r="M12" i="2"/>
  <c r="J12" i="2"/>
  <c r="M11" i="2"/>
  <c r="J11" i="2"/>
  <c r="O10" i="2"/>
  <c r="M10" i="2"/>
  <c r="P10" i="2" s="1"/>
  <c r="J10" i="2"/>
  <c r="J9" i="2"/>
  <c r="J8" i="2"/>
  <c r="M7" i="2"/>
  <c r="J7" i="2"/>
  <c r="M6" i="2"/>
  <c r="J6" i="2"/>
  <c r="M5" i="2"/>
  <c r="J5" i="2"/>
  <c r="M4" i="2"/>
  <c r="J4" i="2"/>
  <c r="M3" i="2"/>
  <c r="J3" i="2"/>
  <c r="O2" i="2"/>
  <c r="M2" i="2"/>
  <c r="P2" i="2" s="1"/>
  <c r="J2" i="2"/>
  <c r="J625" i="1" l="1"/>
  <c r="J624" i="1"/>
  <c r="M623" i="1"/>
  <c r="J623" i="1"/>
  <c r="M622" i="1"/>
  <c r="J622" i="1"/>
  <c r="M621" i="1"/>
  <c r="J621" i="1"/>
  <c r="M620" i="1"/>
  <c r="J620" i="1"/>
  <c r="M619" i="1"/>
  <c r="J619" i="1"/>
  <c r="P618" i="1"/>
  <c r="O618" i="1"/>
  <c r="M618" i="1"/>
  <c r="J618" i="1"/>
  <c r="J617" i="1"/>
  <c r="J616" i="1"/>
  <c r="M615" i="1"/>
  <c r="J615" i="1"/>
  <c r="M614" i="1"/>
  <c r="J614" i="1"/>
  <c r="M613" i="1"/>
  <c r="J613" i="1"/>
  <c r="M612" i="1"/>
  <c r="J612" i="1"/>
  <c r="M611" i="1"/>
  <c r="J611" i="1"/>
  <c r="P610" i="1"/>
  <c r="O610" i="1"/>
  <c r="M610" i="1"/>
  <c r="J610" i="1"/>
  <c r="J609" i="1"/>
  <c r="J608" i="1"/>
  <c r="M607" i="1"/>
  <c r="J607" i="1"/>
  <c r="M606" i="1"/>
  <c r="J606" i="1"/>
  <c r="M605" i="1"/>
  <c r="J605" i="1"/>
  <c r="M604" i="1"/>
  <c r="J604" i="1"/>
  <c r="M603" i="1"/>
  <c r="J603" i="1"/>
  <c r="P602" i="1"/>
  <c r="O602" i="1"/>
  <c r="M602" i="1"/>
  <c r="J602" i="1"/>
  <c r="J601" i="1"/>
  <c r="J600" i="1"/>
  <c r="M599" i="1"/>
  <c r="J599" i="1"/>
  <c r="M598" i="1"/>
  <c r="J598" i="1"/>
  <c r="M597" i="1"/>
  <c r="J597" i="1"/>
  <c r="M596" i="1"/>
  <c r="J596" i="1"/>
  <c r="M595" i="1"/>
  <c r="J595" i="1"/>
  <c r="P594" i="1"/>
  <c r="O594" i="1"/>
  <c r="M594" i="1"/>
  <c r="J594" i="1"/>
  <c r="J593" i="1"/>
  <c r="J592" i="1"/>
  <c r="M591" i="1"/>
  <c r="J591" i="1"/>
  <c r="M590" i="1"/>
  <c r="J590" i="1"/>
  <c r="M589" i="1"/>
  <c r="J589" i="1"/>
  <c r="M588" i="1"/>
  <c r="J588" i="1"/>
  <c r="M587" i="1"/>
  <c r="J587" i="1"/>
  <c r="P586" i="1"/>
  <c r="O586" i="1"/>
  <c r="M586" i="1"/>
  <c r="J586" i="1"/>
  <c r="J585" i="1"/>
  <c r="J584" i="1"/>
  <c r="M583" i="1"/>
  <c r="J583" i="1"/>
  <c r="M582" i="1"/>
  <c r="J582" i="1"/>
  <c r="M581" i="1"/>
  <c r="J581" i="1"/>
  <c r="M580" i="1"/>
  <c r="J580" i="1"/>
  <c r="M579" i="1"/>
  <c r="J579" i="1"/>
  <c r="P578" i="1"/>
  <c r="O578" i="1"/>
  <c r="M578" i="1"/>
  <c r="J578" i="1"/>
  <c r="J577" i="1"/>
  <c r="J576" i="1"/>
  <c r="M575" i="1"/>
  <c r="J575" i="1"/>
  <c r="M574" i="1"/>
  <c r="J574" i="1"/>
  <c r="M573" i="1"/>
  <c r="J573" i="1"/>
  <c r="M572" i="1"/>
  <c r="J572" i="1"/>
  <c r="M571" i="1"/>
  <c r="J571" i="1"/>
  <c r="P570" i="1"/>
  <c r="O570" i="1"/>
  <c r="M570" i="1"/>
  <c r="J570" i="1"/>
  <c r="J569" i="1"/>
  <c r="J568" i="1"/>
  <c r="M567" i="1"/>
  <c r="J567" i="1"/>
  <c r="M566" i="1"/>
  <c r="J566" i="1"/>
  <c r="M565" i="1"/>
  <c r="J565" i="1"/>
  <c r="M564" i="1"/>
  <c r="J564" i="1"/>
  <c r="M563" i="1"/>
  <c r="J563" i="1"/>
  <c r="P562" i="1"/>
  <c r="O562" i="1"/>
  <c r="M562" i="1"/>
  <c r="J562" i="1"/>
  <c r="J561" i="1"/>
  <c r="J560" i="1"/>
  <c r="M559" i="1"/>
  <c r="J559" i="1"/>
  <c r="M558" i="1"/>
  <c r="J558" i="1"/>
  <c r="M557" i="1"/>
  <c r="J557" i="1"/>
  <c r="M556" i="1"/>
  <c r="J556" i="1"/>
  <c r="M555" i="1"/>
  <c r="J555" i="1"/>
  <c r="P554" i="1"/>
  <c r="O554" i="1"/>
  <c r="M554" i="1"/>
  <c r="J554" i="1"/>
  <c r="J553" i="1"/>
  <c r="J552" i="1"/>
  <c r="M551" i="1"/>
  <c r="J551" i="1"/>
  <c r="M550" i="1"/>
  <c r="J550" i="1"/>
  <c r="M549" i="1"/>
  <c r="J549" i="1"/>
  <c r="M548" i="1"/>
  <c r="J548" i="1"/>
  <c r="M547" i="1"/>
  <c r="J547" i="1"/>
  <c r="P546" i="1"/>
  <c r="O546" i="1"/>
  <c r="M546" i="1"/>
  <c r="J546" i="1"/>
  <c r="J545" i="1"/>
  <c r="J544" i="1"/>
  <c r="M543" i="1"/>
  <c r="J543" i="1"/>
  <c r="M542" i="1"/>
  <c r="J542" i="1"/>
  <c r="M541" i="1"/>
  <c r="J541" i="1"/>
  <c r="M540" i="1"/>
  <c r="J540" i="1"/>
  <c r="M539" i="1"/>
  <c r="J539" i="1"/>
  <c r="P538" i="1"/>
  <c r="O538" i="1"/>
  <c r="M538" i="1"/>
  <c r="J538" i="1"/>
  <c r="J537" i="1"/>
  <c r="J536" i="1"/>
  <c r="M535" i="1"/>
  <c r="J535" i="1"/>
  <c r="M534" i="1"/>
  <c r="J534" i="1"/>
  <c r="M533" i="1"/>
  <c r="J533" i="1"/>
  <c r="M532" i="1"/>
  <c r="J532" i="1"/>
  <c r="M531" i="1"/>
  <c r="J531" i="1"/>
  <c r="P530" i="1"/>
  <c r="O530" i="1"/>
  <c r="M530" i="1"/>
  <c r="J530" i="1"/>
  <c r="J529" i="1"/>
  <c r="J528" i="1"/>
  <c r="M527" i="1"/>
  <c r="J527" i="1"/>
  <c r="M526" i="1"/>
  <c r="J526" i="1"/>
  <c r="M525" i="1"/>
  <c r="J525" i="1"/>
  <c r="M524" i="1"/>
  <c r="J524" i="1"/>
  <c r="M523" i="1"/>
  <c r="J523" i="1"/>
  <c r="P522" i="1"/>
  <c r="O522" i="1"/>
  <c r="M522" i="1"/>
  <c r="J522" i="1"/>
  <c r="J521" i="1"/>
  <c r="J520" i="1"/>
  <c r="M519" i="1"/>
  <c r="J519" i="1"/>
  <c r="M518" i="1"/>
  <c r="J518" i="1"/>
  <c r="M517" i="1"/>
  <c r="J517" i="1"/>
  <c r="M516" i="1"/>
  <c r="J516" i="1"/>
  <c r="M515" i="1"/>
  <c r="J515" i="1"/>
  <c r="P514" i="1"/>
  <c r="O514" i="1"/>
  <c r="M514" i="1"/>
  <c r="J514" i="1"/>
  <c r="J513" i="1"/>
  <c r="J512" i="1"/>
  <c r="M511" i="1"/>
  <c r="J511" i="1"/>
  <c r="M510" i="1"/>
  <c r="J510" i="1"/>
  <c r="M509" i="1"/>
  <c r="J509" i="1"/>
  <c r="M508" i="1"/>
  <c r="J508" i="1"/>
  <c r="M507" i="1"/>
  <c r="J507" i="1"/>
  <c r="P506" i="1"/>
  <c r="O506" i="1"/>
  <c r="M506" i="1"/>
  <c r="J506" i="1"/>
  <c r="J505" i="1"/>
  <c r="J504" i="1"/>
  <c r="M503" i="1"/>
  <c r="J503" i="1"/>
  <c r="M502" i="1"/>
  <c r="J502" i="1"/>
  <c r="M501" i="1"/>
  <c r="J501" i="1"/>
  <c r="M500" i="1"/>
  <c r="J500" i="1"/>
  <c r="M499" i="1"/>
  <c r="J499" i="1"/>
  <c r="P498" i="1"/>
  <c r="O498" i="1"/>
  <c r="M498" i="1"/>
  <c r="J498" i="1"/>
  <c r="J497" i="1"/>
  <c r="J496" i="1"/>
  <c r="M495" i="1"/>
  <c r="J495" i="1"/>
  <c r="M494" i="1"/>
  <c r="J494" i="1"/>
  <c r="M493" i="1"/>
  <c r="J493" i="1"/>
  <c r="M492" i="1"/>
  <c r="J492" i="1"/>
  <c r="M491" i="1"/>
  <c r="J491" i="1"/>
  <c r="P490" i="1"/>
  <c r="O490" i="1"/>
  <c r="M490" i="1"/>
  <c r="J490" i="1"/>
  <c r="J489" i="1"/>
  <c r="J488" i="1"/>
  <c r="M487" i="1"/>
  <c r="J487" i="1"/>
  <c r="M486" i="1"/>
  <c r="J486" i="1"/>
  <c r="M485" i="1"/>
  <c r="J485" i="1"/>
  <c r="M484" i="1"/>
  <c r="J484" i="1"/>
  <c r="M483" i="1"/>
  <c r="J483" i="1"/>
  <c r="P482" i="1"/>
  <c r="O482" i="1"/>
  <c r="M482" i="1"/>
  <c r="J482" i="1"/>
  <c r="J481" i="1"/>
  <c r="J480" i="1"/>
  <c r="M479" i="1"/>
  <c r="J479" i="1"/>
  <c r="M478" i="1"/>
  <c r="J478" i="1"/>
  <c r="M477" i="1"/>
  <c r="J477" i="1"/>
  <c r="M476" i="1"/>
  <c r="J476" i="1"/>
  <c r="M475" i="1"/>
  <c r="J475" i="1"/>
  <c r="P474" i="1"/>
  <c r="O474" i="1"/>
  <c r="M474" i="1"/>
  <c r="J474" i="1"/>
  <c r="J473" i="1"/>
  <c r="J472" i="1"/>
  <c r="M471" i="1"/>
  <c r="J471" i="1"/>
  <c r="M470" i="1"/>
  <c r="J470" i="1"/>
  <c r="M469" i="1"/>
  <c r="J469" i="1"/>
  <c r="M468" i="1"/>
  <c r="J468" i="1"/>
  <c r="M467" i="1"/>
  <c r="J467" i="1"/>
  <c r="P466" i="1"/>
  <c r="O466" i="1"/>
  <c r="M466" i="1"/>
  <c r="J466" i="1"/>
  <c r="J465" i="1"/>
  <c r="J464" i="1"/>
  <c r="M463" i="1"/>
  <c r="J463" i="1"/>
  <c r="M462" i="1"/>
  <c r="J462" i="1"/>
  <c r="M461" i="1"/>
  <c r="J461" i="1"/>
  <c r="M460" i="1"/>
  <c r="J460" i="1"/>
  <c r="M459" i="1"/>
  <c r="J459" i="1"/>
  <c r="P458" i="1"/>
  <c r="O458" i="1"/>
  <c r="M458" i="1"/>
  <c r="J458" i="1"/>
  <c r="J457" i="1"/>
  <c r="J456" i="1"/>
  <c r="M455" i="1"/>
  <c r="J455" i="1"/>
  <c r="M454" i="1"/>
  <c r="J454" i="1"/>
  <c r="M453" i="1"/>
  <c r="J453" i="1"/>
  <c r="M452" i="1"/>
  <c r="J452" i="1"/>
  <c r="M451" i="1"/>
  <c r="J451" i="1"/>
  <c r="P450" i="1"/>
  <c r="O450" i="1"/>
  <c r="M450" i="1"/>
  <c r="J450" i="1"/>
  <c r="J449" i="1"/>
  <c r="J448" i="1"/>
  <c r="M447" i="1"/>
  <c r="J447" i="1"/>
  <c r="M446" i="1"/>
  <c r="J446" i="1"/>
  <c r="M445" i="1"/>
  <c r="J445" i="1"/>
  <c r="M444" i="1"/>
  <c r="J444" i="1"/>
  <c r="M443" i="1"/>
  <c r="J443" i="1"/>
  <c r="P442" i="1"/>
  <c r="O442" i="1"/>
  <c r="M442" i="1"/>
  <c r="J442" i="1"/>
  <c r="J441" i="1"/>
  <c r="J440" i="1"/>
  <c r="M439" i="1"/>
  <c r="J439" i="1"/>
  <c r="M438" i="1"/>
  <c r="J438" i="1"/>
  <c r="M437" i="1"/>
  <c r="J437" i="1"/>
  <c r="M436" i="1"/>
  <c r="J436" i="1"/>
  <c r="M435" i="1"/>
  <c r="J435" i="1"/>
  <c r="P434" i="1"/>
  <c r="O434" i="1"/>
  <c r="M434" i="1"/>
  <c r="J434" i="1"/>
  <c r="J433" i="1"/>
  <c r="J432" i="1"/>
  <c r="M431" i="1"/>
  <c r="J431" i="1"/>
  <c r="M430" i="1"/>
  <c r="J430" i="1"/>
  <c r="M429" i="1"/>
  <c r="J429" i="1"/>
  <c r="M428" i="1"/>
  <c r="J428" i="1"/>
  <c r="M427" i="1"/>
  <c r="J427" i="1"/>
  <c r="P426" i="1"/>
  <c r="O426" i="1"/>
  <c r="M426" i="1"/>
  <c r="J426" i="1"/>
  <c r="J425" i="1"/>
  <c r="J424" i="1"/>
  <c r="M423" i="1"/>
  <c r="J423" i="1"/>
  <c r="M422" i="1"/>
  <c r="J422" i="1"/>
  <c r="M421" i="1"/>
  <c r="J421" i="1"/>
  <c r="M420" i="1"/>
  <c r="J420" i="1"/>
  <c r="M419" i="1"/>
  <c r="J419" i="1"/>
  <c r="P418" i="1"/>
  <c r="O418" i="1"/>
  <c r="M418" i="1"/>
  <c r="J418" i="1"/>
  <c r="J417" i="1"/>
  <c r="J416" i="1"/>
  <c r="M415" i="1"/>
  <c r="J415" i="1"/>
  <c r="M414" i="1"/>
  <c r="J414" i="1"/>
  <c r="M413" i="1"/>
  <c r="J413" i="1"/>
  <c r="M412" i="1"/>
  <c r="J412" i="1"/>
  <c r="M411" i="1"/>
  <c r="J411" i="1"/>
  <c r="P410" i="1"/>
  <c r="O410" i="1"/>
  <c r="M410" i="1"/>
  <c r="J410" i="1"/>
  <c r="J409" i="1"/>
  <c r="J408" i="1"/>
  <c r="M407" i="1"/>
  <c r="J407" i="1"/>
  <c r="M406" i="1"/>
  <c r="J406" i="1"/>
  <c r="M405" i="1"/>
  <c r="J405" i="1"/>
  <c r="M404" i="1"/>
  <c r="J404" i="1"/>
  <c r="M403" i="1"/>
  <c r="J403" i="1"/>
  <c r="P402" i="1"/>
  <c r="O402" i="1"/>
  <c r="M402" i="1"/>
  <c r="J402" i="1"/>
  <c r="J401" i="1"/>
  <c r="J400" i="1"/>
  <c r="M399" i="1"/>
  <c r="J399" i="1"/>
  <c r="M398" i="1"/>
  <c r="J398" i="1"/>
  <c r="M397" i="1"/>
  <c r="J397" i="1"/>
  <c r="M396" i="1"/>
  <c r="J396" i="1"/>
  <c r="M395" i="1"/>
  <c r="J395" i="1"/>
  <c r="P394" i="1"/>
  <c r="O394" i="1"/>
  <c r="M394" i="1"/>
  <c r="J394" i="1"/>
  <c r="J393" i="1"/>
  <c r="J392" i="1"/>
  <c r="M391" i="1"/>
  <c r="J391" i="1"/>
  <c r="M390" i="1"/>
  <c r="J390" i="1"/>
  <c r="M389" i="1"/>
  <c r="J389" i="1"/>
  <c r="M388" i="1"/>
  <c r="J388" i="1"/>
  <c r="M387" i="1"/>
  <c r="J387" i="1"/>
  <c r="P386" i="1"/>
  <c r="O386" i="1"/>
  <c r="M386" i="1"/>
  <c r="J386" i="1"/>
  <c r="J385" i="1"/>
  <c r="J384" i="1"/>
  <c r="M383" i="1"/>
  <c r="J383" i="1"/>
  <c r="M382" i="1"/>
  <c r="J382" i="1"/>
  <c r="M381" i="1"/>
  <c r="J381" i="1"/>
  <c r="M380" i="1"/>
  <c r="J380" i="1"/>
  <c r="M379" i="1"/>
  <c r="J379" i="1"/>
  <c r="P378" i="1"/>
  <c r="O378" i="1"/>
  <c r="M378" i="1"/>
  <c r="J378" i="1"/>
  <c r="J377" i="1"/>
  <c r="J376" i="1"/>
  <c r="M375" i="1"/>
  <c r="J375" i="1"/>
  <c r="M374" i="1"/>
  <c r="J374" i="1"/>
  <c r="M373" i="1"/>
  <c r="J373" i="1"/>
  <c r="M372" i="1"/>
  <c r="J372" i="1"/>
  <c r="M371" i="1"/>
  <c r="J371" i="1"/>
  <c r="P370" i="1"/>
  <c r="O370" i="1"/>
  <c r="M370" i="1"/>
  <c r="J370" i="1"/>
  <c r="J369" i="1"/>
  <c r="J368" i="1"/>
  <c r="M367" i="1"/>
  <c r="J367" i="1"/>
  <c r="M366" i="1"/>
  <c r="J366" i="1"/>
  <c r="M365" i="1"/>
  <c r="J365" i="1"/>
  <c r="M364" i="1"/>
  <c r="J364" i="1"/>
  <c r="M363" i="1"/>
  <c r="J363" i="1"/>
  <c r="P362" i="1"/>
  <c r="O362" i="1"/>
  <c r="M362" i="1"/>
  <c r="J362" i="1"/>
  <c r="J361" i="1"/>
  <c r="J360" i="1"/>
  <c r="M359" i="1"/>
  <c r="J359" i="1"/>
  <c r="M358" i="1"/>
  <c r="J358" i="1"/>
  <c r="M357" i="1"/>
  <c r="J357" i="1"/>
  <c r="M356" i="1"/>
  <c r="J356" i="1"/>
  <c r="M355" i="1"/>
  <c r="J355" i="1"/>
  <c r="P354" i="1"/>
  <c r="O354" i="1"/>
  <c r="M354" i="1"/>
  <c r="J354" i="1"/>
  <c r="J353" i="1"/>
  <c r="J352" i="1"/>
  <c r="M351" i="1"/>
  <c r="J351" i="1"/>
  <c r="M350" i="1"/>
  <c r="J350" i="1"/>
  <c r="M349" i="1"/>
  <c r="J349" i="1"/>
  <c r="M348" i="1"/>
  <c r="J348" i="1"/>
  <c r="M347" i="1"/>
  <c r="J347" i="1"/>
  <c r="P346" i="1"/>
  <c r="O346" i="1"/>
  <c r="M346" i="1"/>
  <c r="J346" i="1"/>
  <c r="J345" i="1"/>
  <c r="J344" i="1"/>
  <c r="M343" i="1"/>
  <c r="J343" i="1"/>
  <c r="M342" i="1"/>
  <c r="J342" i="1"/>
  <c r="M341" i="1"/>
  <c r="J341" i="1"/>
  <c r="M340" i="1"/>
  <c r="J340" i="1"/>
  <c r="M339" i="1"/>
  <c r="J339" i="1"/>
  <c r="P338" i="1"/>
  <c r="O338" i="1"/>
  <c r="M338" i="1"/>
  <c r="J338" i="1"/>
  <c r="J337" i="1"/>
  <c r="J336" i="1"/>
  <c r="M335" i="1"/>
  <c r="J335" i="1"/>
  <c r="M334" i="1"/>
  <c r="J334" i="1"/>
  <c r="M333" i="1"/>
  <c r="J333" i="1"/>
  <c r="M332" i="1"/>
  <c r="J332" i="1"/>
  <c r="M331" i="1"/>
  <c r="J331" i="1"/>
  <c r="P330" i="1"/>
  <c r="O330" i="1"/>
  <c r="M330" i="1"/>
  <c r="J330" i="1"/>
  <c r="J329" i="1"/>
  <c r="J328" i="1"/>
  <c r="M327" i="1"/>
  <c r="J327" i="1"/>
  <c r="M326" i="1"/>
  <c r="J326" i="1"/>
  <c r="M325" i="1"/>
  <c r="J325" i="1"/>
  <c r="M324" i="1"/>
  <c r="J324" i="1"/>
  <c r="M323" i="1"/>
  <c r="J323" i="1"/>
  <c r="P322" i="1"/>
  <c r="O322" i="1"/>
  <c r="M322" i="1"/>
  <c r="J322" i="1"/>
  <c r="J321" i="1"/>
  <c r="J320" i="1"/>
  <c r="M319" i="1"/>
  <c r="J319" i="1"/>
  <c r="M318" i="1"/>
  <c r="J318" i="1"/>
  <c r="M317" i="1"/>
  <c r="J317" i="1"/>
  <c r="M316" i="1"/>
  <c r="J316" i="1"/>
  <c r="M315" i="1"/>
  <c r="J315" i="1"/>
  <c r="P314" i="1"/>
  <c r="O314" i="1"/>
  <c r="M314" i="1"/>
  <c r="J314" i="1"/>
  <c r="J313" i="1"/>
  <c r="J312" i="1"/>
  <c r="M311" i="1"/>
  <c r="J311" i="1"/>
  <c r="M310" i="1"/>
  <c r="J310" i="1"/>
  <c r="M309" i="1"/>
  <c r="J309" i="1"/>
  <c r="M308" i="1"/>
  <c r="J308" i="1"/>
  <c r="M307" i="1"/>
  <c r="J307" i="1"/>
  <c r="P306" i="1"/>
  <c r="O306" i="1"/>
  <c r="M306" i="1"/>
  <c r="J306" i="1"/>
  <c r="J305" i="1"/>
  <c r="J304" i="1"/>
  <c r="M303" i="1"/>
  <c r="J303" i="1"/>
  <c r="M302" i="1"/>
  <c r="J302" i="1"/>
  <c r="M301" i="1"/>
  <c r="J301" i="1"/>
  <c r="M300" i="1"/>
  <c r="J300" i="1"/>
  <c r="M299" i="1"/>
  <c r="J299" i="1"/>
  <c r="P298" i="1"/>
  <c r="O298" i="1"/>
  <c r="M298" i="1"/>
  <c r="J298" i="1"/>
  <c r="J297" i="1"/>
  <c r="J296" i="1"/>
  <c r="M295" i="1"/>
  <c r="J295" i="1"/>
  <c r="M294" i="1"/>
  <c r="J294" i="1"/>
  <c r="M293" i="1"/>
  <c r="J293" i="1"/>
  <c r="M292" i="1"/>
  <c r="J292" i="1"/>
  <c r="M291" i="1"/>
  <c r="J291" i="1"/>
  <c r="P290" i="1"/>
  <c r="O290" i="1"/>
  <c r="M290" i="1"/>
  <c r="J290" i="1"/>
  <c r="J289" i="1"/>
  <c r="J288" i="1"/>
  <c r="M287" i="1"/>
  <c r="J287" i="1"/>
  <c r="M286" i="1"/>
  <c r="J286" i="1"/>
  <c r="M285" i="1"/>
  <c r="J285" i="1"/>
  <c r="M284" i="1"/>
  <c r="J284" i="1"/>
  <c r="M283" i="1"/>
  <c r="J283" i="1"/>
  <c r="P282" i="1"/>
  <c r="O282" i="1"/>
  <c r="M282" i="1"/>
  <c r="J282" i="1"/>
  <c r="J281" i="1"/>
  <c r="J280" i="1"/>
  <c r="M279" i="1"/>
  <c r="J279" i="1"/>
  <c r="M278" i="1"/>
  <c r="J278" i="1"/>
  <c r="M277" i="1"/>
  <c r="J277" i="1"/>
  <c r="M276" i="1"/>
  <c r="J276" i="1"/>
  <c r="M275" i="1"/>
  <c r="J275" i="1"/>
  <c r="P274" i="1"/>
  <c r="O274" i="1"/>
  <c r="M274" i="1"/>
  <c r="J274" i="1"/>
  <c r="J273" i="1"/>
  <c r="J272" i="1"/>
  <c r="M271" i="1"/>
  <c r="J271" i="1"/>
  <c r="M270" i="1"/>
  <c r="J270" i="1"/>
  <c r="M269" i="1"/>
  <c r="J269" i="1"/>
  <c r="M268" i="1"/>
  <c r="J268" i="1"/>
  <c r="M267" i="1"/>
  <c r="J267" i="1"/>
  <c r="P266" i="1"/>
  <c r="O266" i="1"/>
  <c r="M266" i="1"/>
  <c r="J266" i="1"/>
  <c r="J265" i="1"/>
  <c r="J264" i="1"/>
  <c r="M263" i="1"/>
  <c r="J263" i="1"/>
  <c r="M262" i="1"/>
  <c r="J262" i="1"/>
  <c r="M261" i="1"/>
  <c r="J261" i="1"/>
  <c r="M260" i="1"/>
  <c r="J260" i="1"/>
  <c r="M259" i="1"/>
  <c r="J259" i="1"/>
  <c r="P258" i="1"/>
  <c r="O258" i="1"/>
  <c r="M258" i="1"/>
  <c r="J258" i="1"/>
  <c r="J257" i="1"/>
  <c r="J256" i="1"/>
  <c r="M255" i="1"/>
  <c r="J255" i="1"/>
  <c r="M254" i="1"/>
  <c r="J254" i="1"/>
  <c r="M253" i="1"/>
  <c r="J253" i="1"/>
  <c r="M252" i="1"/>
  <c r="J252" i="1"/>
  <c r="M251" i="1"/>
  <c r="J251" i="1"/>
  <c r="P250" i="1"/>
  <c r="O250" i="1"/>
  <c r="M250" i="1"/>
  <c r="J250" i="1"/>
  <c r="J249" i="1"/>
  <c r="J248" i="1"/>
  <c r="M247" i="1"/>
  <c r="J247" i="1"/>
  <c r="M246" i="1"/>
  <c r="J246" i="1"/>
  <c r="M245" i="1"/>
  <c r="J245" i="1"/>
  <c r="M244" i="1"/>
  <c r="J244" i="1"/>
  <c r="M243" i="1"/>
  <c r="J243" i="1"/>
  <c r="P242" i="1"/>
  <c r="O242" i="1"/>
  <c r="M242" i="1"/>
  <c r="J242" i="1"/>
  <c r="J241" i="1"/>
  <c r="J240" i="1"/>
  <c r="M239" i="1"/>
  <c r="J239" i="1"/>
  <c r="M238" i="1"/>
  <c r="J238" i="1"/>
  <c r="M237" i="1"/>
  <c r="J237" i="1"/>
  <c r="M236" i="1"/>
  <c r="J236" i="1"/>
  <c r="M235" i="1"/>
  <c r="J235" i="1"/>
  <c r="P234" i="1"/>
  <c r="O234" i="1"/>
  <c r="M234" i="1"/>
  <c r="J234" i="1"/>
  <c r="J233" i="1"/>
  <c r="J232" i="1"/>
  <c r="M231" i="1"/>
  <c r="J231" i="1"/>
  <c r="M230" i="1"/>
  <c r="J230" i="1"/>
  <c r="M229" i="1"/>
  <c r="J229" i="1"/>
  <c r="M228" i="1"/>
  <c r="J228" i="1"/>
  <c r="M227" i="1"/>
  <c r="J227" i="1"/>
  <c r="P226" i="1"/>
  <c r="O226" i="1"/>
  <c r="M226" i="1"/>
  <c r="J226" i="1"/>
  <c r="J225" i="1"/>
  <c r="J224" i="1"/>
  <c r="M223" i="1"/>
  <c r="J223" i="1"/>
  <c r="M222" i="1"/>
  <c r="J222" i="1"/>
  <c r="M221" i="1"/>
  <c r="J221" i="1"/>
  <c r="M220" i="1"/>
  <c r="J220" i="1"/>
  <c r="M219" i="1"/>
  <c r="J219" i="1"/>
  <c r="P218" i="1"/>
  <c r="O218" i="1"/>
  <c r="M218" i="1"/>
  <c r="J218" i="1"/>
  <c r="J217" i="1"/>
  <c r="J216" i="1"/>
  <c r="M215" i="1"/>
  <c r="J215" i="1"/>
  <c r="M214" i="1"/>
  <c r="J214" i="1"/>
  <c r="M213" i="1"/>
  <c r="J213" i="1"/>
  <c r="M212" i="1"/>
  <c r="J212" i="1"/>
  <c r="M211" i="1"/>
  <c r="J211" i="1"/>
  <c r="P210" i="1"/>
  <c r="O210" i="1"/>
  <c r="M210" i="1"/>
  <c r="J210" i="1"/>
  <c r="J209" i="1"/>
  <c r="J208" i="1"/>
  <c r="M207" i="1"/>
  <c r="J207" i="1"/>
  <c r="M206" i="1"/>
  <c r="J206" i="1"/>
  <c r="M205" i="1"/>
  <c r="J205" i="1"/>
  <c r="M204" i="1"/>
  <c r="J204" i="1"/>
  <c r="M203" i="1"/>
  <c r="J203" i="1"/>
  <c r="P202" i="1"/>
  <c r="O202" i="1"/>
  <c r="M202" i="1"/>
  <c r="J202" i="1"/>
  <c r="J201" i="1"/>
  <c r="J200" i="1"/>
  <c r="M199" i="1"/>
  <c r="J199" i="1"/>
  <c r="M198" i="1"/>
  <c r="J198" i="1"/>
  <c r="M197" i="1"/>
  <c r="J197" i="1"/>
  <c r="M196" i="1"/>
  <c r="J196" i="1"/>
  <c r="M195" i="1"/>
  <c r="J195" i="1"/>
  <c r="P194" i="1"/>
  <c r="O194" i="1"/>
  <c r="M194" i="1"/>
  <c r="J194" i="1"/>
  <c r="J193" i="1"/>
  <c r="J192" i="1"/>
  <c r="M191" i="1"/>
  <c r="J191" i="1"/>
  <c r="M190" i="1"/>
  <c r="J190" i="1"/>
  <c r="M189" i="1"/>
  <c r="J189" i="1"/>
  <c r="M188" i="1"/>
  <c r="J188" i="1"/>
  <c r="M187" i="1"/>
  <c r="J187" i="1"/>
  <c r="P186" i="1"/>
  <c r="O186" i="1"/>
  <c r="M186" i="1"/>
  <c r="J186" i="1"/>
  <c r="J185" i="1"/>
  <c r="J184" i="1"/>
  <c r="M183" i="1"/>
  <c r="J183" i="1"/>
  <c r="M182" i="1"/>
  <c r="J182" i="1"/>
  <c r="M181" i="1"/>
  <c r="J181" i="1"/>
  <c r="M180" i="1"/>
  <c r="J180" i="1"/>
  <c r="M179" i="1"/>
  <c r="J179" i="1"/>
  <c r="P178" i="1"/>
  <c r="O178" i="1"/>
  <c r="M178" i="1"/>
  <c r="J178" i="1"/>
  <c r="J177" i="1"/>
  <c r="J176" i="1"/>
  <c r="M175" i="1"/>
  <c r="J175" i="1"/>
  <c r="M174" i="1"/>
  <c r="J174" i="1"/>
  <c r="M173" i="1"/>
  <c r="J173" i="1"/>
  <c r="M172" i="1"/>
  <c r="J172" i="1"/>
  <c r="M171" i="1"/>
  <c r="J171" i="1"/>
  <c r="P170" i="1"/>
  <c r="O170" i="1"/>
  <c r="M170" i="1"/>
  <c r="J170" i="1"/>
  <c r="J169" i="1"/>
  <c r="J168" i="1"/>
  <c r="M167" i="1"/>
  <c r="J167" i="1"/>
  <c r="M166" i="1"/>
  <c r="J166" i="1"/>
  <c r="M165" i="1"/>
  <c r="J165" i="1"/>
  <c r="M164" i="1"/>
  <c r="J164" i="1"/>
  <c r="M163" i="1"/>
  <c r="J163" i="1"/>
  <c r="P162" i="1"/>
  <c r="O162" i="1"/>
  <c r="M162" i="1"/>
  <c r="J162" i="1"/>
  <c r="J161" i="1"/>
  <c r="J160" i="1"/>
  <c r="M159" i="1"/>
  <c r="J159" i="1"/>
  <c r="M158" i="1"/>
  <c r="J158" i="1"/>
  <c r="M157" i="1"/>
  <c r="J157" i="1"/>
  <c r="M156" i="1"/>
  <c r="J156" i="1"/>
  <c r="M155" i="1"/>
  <c r="J155" i="1"/>
  <c r="P154" i="1"/>
  <c r="O154" i="1"/>
  <c r="M154" i="1"/>
  <c r="J154" i="1"/>
  <c r="J153" i="1"/>
  <c r="J152" i="1"/>
  <c r="M151" i="1"/>
  <c r="J151" i="1"/>
  <c r="M150" i="1"/>
  <c r="J150" i="1"/>
  <c r="M149" i="1"/>
  <c r="J149" i="1"/>
  <c r="M148" i="1"/>
  <c r="J148" i="1"/>
  <c r="M147" i="1"/>
  <c r="J147" i="1"/>
  <c r="P146" i="1"/>
  <c r="O146" i="1"/>
  <c r="M146" i="1"/>
  <c r="J146" i="1"/>
  <c r="J145" i="1"/>
  <c r="J144" i="1"/>
  <c r="M143" i="1"/>
  <c r="J143" i="1"/>
  <c r="M142" i="1"/>
  <c r="J142" i="1"/>
  <c r="M141" i="1"/>
  <c r="J141" i="1"/>
  <c r="M140" i="1"/>
  <c r="J140" i="1"/>
  <c r="M139" i="1"/>
  <c r="J139" i="1"/>
  <c r="P138" i="1"/>
  <c r="O138" i="1"/>
  <c r="M138" i="1"/>
  <c r="J138" i="1"/>
  <c r="J137" i="1"/>
  <c r="J136" i="1"/>
  <c r="M135" i="1"/>
  <c r="J135" i="1"/>
  <c r="M134" i="1"/>
  <c r="J134" i="1"/>
  <c r="M133" i="1"/>
  <c r="J133" i="1"/>
  <c r="M132" i="1"/>
  <c r="J132" i="1"/>
  <c r="M131" i="1"/>
  <c r="J131" i="1"/>
  <c r="P130" i="1"/>
  <c r="O130" i="1"/>
  <c r="M130" i="1"/>
  <c r="J130" i="1"/>
  <c r="J129" i="1"/>
  <c r="J128" i="1"/>
  <c r="M127" i="1"/>
  <c r="J127" i="1"/>
  <c r="M126" i="1"/>
  <c r="J126" i="1"/>
  <c r="M125" i="1"/>
  <c r="J125" i="1"/>
  <c r="M124" i="1"/>
  <c r="J124" i="1"/>
  <c r="M123" i="1"/>
  <c r="J123" i="1"/>
  <c r="P122" i="1"/>
  <c r="O122" i="1"/>
  <c r="M122" i="1"/>
  <c r="J122" i="1"/>
  <c r="J121" i="1"/>
  <c r="J120" i="1"/>
  <c r="M119" i="1"/>
  <c r="J119" i="1"/>
  <c r="M118" i="1"/>
  <c r="J118" i="1"/>
  <c r="M117" i="1"/>
  <c r="J117" i="1"/>
  <c r="M116" i="1"/>
  <c r="J116" i="1"/>
  <c r="M115" i="1"/>
  <c r="J115" i="1"/>
  <c r="P114" i="1"/>
  <c r="O114" i="1"/>
  <c r="M114" i="1"/>
  <c r="J114" i="1"/>
  <c r="J113" i="1"/>
  <c r="J112" i="1"/>
  <c r="M111" i="1"/>
  <c r="J111" i="1"/>
  <c r="M110" i="1"/>
  <c r="J110" i="1"/>
  <c r="M109" i="1"/>
  <c r="J109" i="1"/>
  <c r="M108" i="1"/>
  <c r="J108" i="1"/>
  <c r="M107" i="1"/>
  <c r="J107" i="1"/>
  <c r="P106" i="1"/>
  <c r="O106" i="1"/>
  <c r="M106" i="1"/>
  <c r="J106" i="1"/>
  <c r="J105" i="1"/>
  <c r="J104" i="1"/>
  <c r="M103" i="1"/>
  <c r="J103" i="1"/>
  <c r="M102" i="1"/>
  <c r="J102" i="1"/>
  <c r="M101" i="1"/>
  <c r="J101" i="1"/>
  <c r="M100" i="1"/>
  <c r="J100" i="1"/>
  <c r="M99" i="1"/>
  <c r="J99" i="1"/>
  <c r="P98" i="1"/>
  <c r="O98" i="1"/>
  <c r="M98" i="1"/>
  <c r="J98" i="1"/>
  <c r="J97" i="1"/>
  <c r="J96" i="1"/>
  <c r="M95" i="1"/>
  <c r="J95" i="1"/>
  <c r="M94" i="1"/>
  <c r="J94" i="1"/>
  <c r="M93" i="1"/>
  <c r="J93" i="1"/>
  <c r="M92" i="1"/>
  <c r="J92" i="1"/>
  <c r="M91" i="1"/>
  <c r="J91" i="1"/>
  <c r="P90" i="1"/>
  <c r="O90" i="1"/>
  <c r="M90" i="1"/>
  <c r="J90" i="1"/>
  <c r="J89" i="1"/>
  <c r="J88" i="1"/>
  <c r="M87" i="1"/>
  <c r="J87" i="1"/>
  <c r="M86" i="1"/>
  <c r="J86" i="1"/>
  <c r="M85" i="1"/>
  <c r="J85" i="1"/>
  <c r="M84" i="1"/>
  <c r="J84" i="1"/>
  <c r="M83" i="1"/>
  <c r="J83" i="1"/>
  <c r="P82" i="1"/>
  <c r="O82" i="1"/>
  <c r="M82" i="1"/>
  <c r="J82" i="1"/>
  <c r="J81" i="1"/>
  <c r="J80" i="1"/>
  <c r="M79" i="1"/>
  <c r="J79" i="1"/>
  <c r="M78" i="1"/>
  <c r="J78" i="1"/>
  <c r="M77" i="1"/>
  <c r="J77" i="1"/>
  <c r="M76" i="1"/>
  <c r="J76" i="1"/>
  <c r="M75" i="1"/>
  <c r="J75" i="1"/>
  <c r="P74" i="1"/>
  <c r="O74" i="1"/>
  <c r="M74" i="1"/>
  <c r="J74" i="1"/>
  <c r="J73" i="1"/>
  <c r="J72" i="1"/>
  <c r="M71" i="1"/>
  <c r="J71" i="1"/>
  <c r="M70" i="1"/>
  <c r="J70" i="1"/>
  <c r="M69" i="1"/>
  <c r="J69" i="1"/>
  <c r="M68" i="1"/>
  <c r="J68" i="1"/>
  <c r="M67" i="1"/>
  <c r="J67" i="1"/>
  <c r="P66" i="1"/>
  <c r="O66" i="1"/>
  <c r="M66" i="1"/>
  <c r="J66" i="1"/>
  <c r="J65" i="1"/>
  <c r="J64" i="1"/>
  <c r="M63" i="1"/>
  <c r="J63" i="1"/>
  <c r="M62" i="1"/>
  <c r="J62" i="1"/>
  <c r="M61" i="1"/>
  <c r="J61" i="1"/>
  <c r="M60" i="1"/>
  <c r="J60" i="1"/>
  <c r="M59" i="1"/>
  <c r="J59" i="1"/>
  <c r="P58" i="1"/>
  <c r="O58" i="1"/>
  <c r="M58" i="1"/>
  <c r="J58" i="1"/>
  <c r="J57" i="1"/>
  <c r="J56" i="1"/>
  <c r="M55" i="1"/>
  <c r="J55" i="1"/>
  <c r="M54" i="1"/>
  <c r="J54" i="1"/>
  <c r="M53" i="1"/>
  <c r="J53" i="1"/>
  <c r="M52" i="1"/>
  <c r="J52" i="1"/>
  <c r="M51" i="1"/>
  <c r="J51" i="1"/>
  <c r="P50" i="1"/>
  <c r="O50" i="1"/>
  <c r="M50" i="1"/>
  <c r="J50" i="1"/>
  <c r="J49" i="1"/>
  <c r="J48" i="1"/>
  <c r="M47" i="1"/>
  <c r="J47" i="1"/>
  <c r="M46" i="1"/>
  <c r="J46" i="1"/>
  <c r="M45" i="1"/>
  <c r="J45" i="1"/>
  <c r="M44" i="1"/>
  <c r="J44" i="1"/>
  <c r="M43" i="1"/>
  <c r="J43" i="1"/>
  <c r="P42" i="1"/>
  <c r="O42" i="1"/>
  <c r="M42" i="1"/>
  <c r="J42" i="1"/>
  <c r="J41" i="1"/>
  <c r="J40" i="1"/>
  <c r="M39" i="1"/>
  <c r="J39" i="1"/>
  <c r="M38" i="1"/>
  <c r="J38" i="1"/>
  <c r="M37" i="1"/>
  <c r="J37" i="1"/>
  <c r="M36" i="1"/>
  <c r="J36" i="1"/>
  <c r="M35" i="1"/>
  <c r="J35" i="1"/>
  <c r="P34" i="1"/>
  <c r="O34" i="1"/>
  <c r="M34" i="1"/>
  <c r="J34" i="1"/>
  <c r="J33" i="1"/>
  <c r="J32" i="1"/>
  <c r="M31" i="1"/>
  <c r="J31" i="1"/>
  <c r="M30" i="1"/>
  <c r="J30" i="1"/>
  <c r="M29" i="1"/>
  <c r="J29" i="1"/>
  <c r="M28" i="1"/>
  <c r="J28" i="1"/>
  <c r="M27" i="1"/>
  <c r="J27" i="1"/>
  <c r="P26" i="1"/>
  <c r="O26" i="1"/>
  <c r="M26" i="1"/>
  <c r="J26" i="1"/>
  <c r="J25" i="1"/>
  <c r="J24" i="1"/>
  <c r="M23" i="1"/>
  <c r="J23" i="1"/>
  <c r="M22" i="1"/>
  <c r="J22" i="1"/>
  <c r="M21" i="1"/>
  <c r="J21" i="1"/>
  <c r="M20" i="1"/>
  <c r="J20" i="1"/>
  <c r="M19" i="1"/>
  <c r="J19" i="1"/>
  <c r="P18" i="1"/>
  <c r="O18" i="1"/>
  <c r="M18" i="1"/>
  <c r="J18" i="1"/>
  <c r="J17" i="1"/>
  <c r="J16" i="1"/>
  <c r="M15" i="1"/>
  <c r="J15" i="1"/>
  <c r="M14" i="1"/>
  <c r="J14" i="1"/>
  <c r="M13" i="1"/>
  <c r="J13" i="1"/>
  <c r="M12" i="1"/>
  <c r="J12" i="1"/>
  <c r="M11" i="1"/>
  <c r="J11" i="1"/>
  <c r="P10" i="1"/>
  <c r="O10" i="1"/>
  <c r="M10" i="1"/>
  <c r="J10" i="1"/>
  <c r="J9" i="1"/>
  <c r="J8" i="1"/>
  <c r="M7" i="1"/>
  <c r="J7" i="1"/>
  <c r="M6" i="1"/>
  <c r="J6" i="1"/>
  <c r="M5" i="1"/>
  <c r="J5" i="1"/>
  <c r="M4" i="1"/>
  <c r="J4" i="1"/>
  <c r="M3" i="1"/>
  <c r="J3" i="1"/>
  <c r="P2" i="1"/>
  <c r="O2" i="1"/>
  <c r="M2" i="1"/>
  <c r="J2" i="1"/>
</calcChain>
</file>

<file path=xl/sharedStrings.xml><?xml version="1.0" encoding="utf-8"?>
<sst xmlns="http://schemas.openxmlformats.org/spreadsheetml/2006/main" count="7558" uniqueCount="1601">
  <si>
    <t>School</t>
  </si>
  <si>
    <t>First Name</t>
  </si>
  <si>
    <t>Last Name</t>
  </si>
  <si>
    <t>Game 1</t>
  </si>
  <si>
    <t>Game 2</t>
  </si>
  <si>
    <t>Game 3</t>
  </si>
  <si>
    <t>Game 4</t>
  </si>
  <si>
    <t>Game 5</t>
  </si>
  <si>
    <t>Game 6</t>
  </si>
  <si>
    <t>Individual Totals</t>
  </si>
  <si>
    <t>Game</t>
  </si>
  <si>
    <t>Team Total</t>
  </si>
  <si>
    <t>Team Standings</t>
  </si>
  <si>
    <t>Nevada - Las Vegas</t>
  </si>
  <si>
    <t>Adam</t>
  </si>
  <si>
    <t>Eslinger</t>
  </si>
  <si>
    <t>Dallas</t>
  </si>
  <si>
    <t>Leong</t>
  </si>
  <si>
    <t>Emi</t>
  </si>
  <si>
    <t>Kylie</t>
  </si>
  <si>
    <t>Mogard</t>
  </si>
  <si>
    <t>LeeAnn</t>
  </si>
  <si>
    <t>Reyes</t>
  </si>
  <si>
    <t>Nick</t>
  </si>
  <si>
    <t>Dillman</t>
  </si>
  <si>
    <t>Sonny Jr.</t>
  </si>
  <si>
    <t>Geronimo</t>
  </si>
  <si>
    <t>Morehead State</t>
  </si>
  <si>
    <t>Cole</t>
  </si>
  <si>
    <t>Meredith</t>
  </si>
  <si>
    <t>Jacob</t>
  </si>
  <si>
    <t>Yazell</t>
  </si>
  <si>
    <t>Kevin</t>
  </si>
  <si>
    <t>Hindman</t>
  </si>
  <si>
    <t xml:space="preserve">Mark </t>
  </si>
  <si>
    <t>Curtis</t>
  </si>
  <si>
    <t>Michael</t>
  </si>
  <si>
    <t>McCubbins</t>
  </si>
  <si>
    <t>Mitch</t>
  </si>
  <si>
    <t>Hehn</t>
  </si>
  <si>
    <t>Tiler</t>
  </si>
  <si>
    <t>Levesque</t>
  </si>
  <si>
    <t>Troy</t>
  </si>
  <si>
    <t>White</t>
  </si>
  <si>
    <t>Lindsey Wilson</t>
  </si>
  <si>
    <t>Andrew</t>
  </si>
  <si>
    <t>Dube</t>
  </si>
  <si>
    <t>Cody</t>
  </si>
  <si>
    <t>Miller</t>
  </si>
  <si>
    <t>Derek</t>
  </si>
  <si>
    <t>Lyons</t>
  </si>
  <si>
    <t>Eli</t>
  </si>
  <si>
    <t>Kapres</t>
  </si>
  <si>
    <t>Jeffery</t>
  </si>
  <si>
    <t>Hulette</t>
  </si>
  <si>
    <t>John</t>
  </si>
  <si>
    <t>Meece</t>
  </si>
  <si>
    <t xml:space="preserve">Matt </t>
  </si>
  <si>
    <t>Evans</t>
  </si>
  <si>
    <t>Tyler</t>
  </si>
  <si>
    <t>Goodman</t>
  </si>
  <si>
    <t>Kent State</t>
  </si>
  <si>
    <t>Oltmanns</t>
  </si>
  <si>
    <t>Chad</t>
  </si>
  <si>
    <t>Kuchenmeister</t>
  </si>
  <si>
    <t>Colin</t>
  </si>
  <si>
    <t>Daniel</t>
  </si>
  <si>
    <t>Passonno</t>
  </si>
  <si>
    <t xml:space="preserve">Kyle </t>
  </si>
  <si>
    <t>Dryden</t>
  </si>
  <si>
    <t>Lucas</t>
  </si>
  <si>
    <t>Herman</t>
  </si>
  <si>
    <t>Robert</t>
  </si>
  <si>
    <t>Callam</t>
  </si>
  <si>
    <t>Florida State</t>
  </si>
  <si>
    <t>Chris</t>
  </si>
  <si>
    <t>Radliff</t>
  </si>
  <si>
    <t>Christopher</t>
  </si>
  <si>
    <t>Canterbury</t>
  </si>
  <si>
    <t>Gabe</t>
  </si>
  <si>
    <t>Spells</t>
  </si>
  <si>
    <t>Greg</t>
  </si>
  <si>
    <t>Tack</t>
  </si>
  <si>
    <t>Will</t>
  </si>
  <si>
    <t>Davenport</t>
  </si>
  <si>
    <t>Batliner</t>
  </si>
  <si>
    <t>Jeremy</t>
  </si>
  <si>
    <t>Dinsmore</t>
  </si>
  <si>
    <t>Morgan</t>
  </si>
  <si>
    <t>Kyle</t>
  </si>
  <si>
    <t>Koprowitz</t>
  </si>
  <si>
    <t>Trevor Lewis</t>
  </si>
  <si>
    <t>Ryan</t>
  </si>
  <si>
    <t>O'rourke</t>
  </si>
  <si>
    <t>Sam</t>
  </si>
  <si>
    <t>Brandt</t>
  </si>
  <si>
    <t>Sean</t>
  </si>
  <si>
    <t>Taylor</t>
  </si>
  <si>
    <t>Clarke</t>
  </si>
  <si>
    <t>Anthony</t>
  </si>
  <si>
    <t>Tometz</t>
  </si>
  <si>
    <t>Bryce</t>
  </si>
  <si>
    <t>Leonard</t>
  </si>
  <si>
    <t>Collin</t>
  </si>
  <si>
    <t>Herington</t>
  </si>
  <si>
    <t>Dylan</t>
  </si>
  <si>
    <t>Shaffer</t>
  </si>
  <si>
    <t>Werner</t>
  </si>
  <si>
    <t>Phill</t>
  </si>
  <si>
    <t>Breitbach</t>
  </si>
  <si>
    <t>Moss</t>
  </si>
  <si>
    <t>Zach</t>
  </si>
  <si>
    <t>Prucha</t>
  </si>
  <si>
    <t>Bethel</t>
  </si>
  <si>
    <t>Richmond</t>
  </si>
  <si>
    <t>Connor</t>
  </si>
  <si>
    <t>Bradley</t>
  </si>
  <si>
    <t>Darnail</t>
  </si>
  <si>
    <t>Ray</t>
  </si>
  <si>
    <t>Corbin</t>
  </si>
  <si>
    <t>Stanley</t>
  </si>
  <si>
    <t>McNeil</t>
  </si>
  <si>
    <t>Tavis</t>
  </si>
  <si>
    <t>Carr</t>
  </si>
  <si>
    <t>Timothy</t>
  </si>
  <si>
    <t>Byers</t>
  </si>
  <si>
    <t>Smith</t>
  </si>
  <si>
    <t>Aquinas</t>
  </si>
  <si>
    <t>Bailey</t>
  </si>
  <si>
    <t>Budnik</t>
  </si>
  <si>
    <t>Jared</t>
  </si>
  <si>
    <t>Edgerton</t>
  </si>
  <si>
    <t>Marcus</t>
  </si>
  <si>
    <t>Neal</t>
  </si>
  <si>
    <t>Mike</t>
  </si>
  <si>
    <t>Fitzsimmons</t>
  </si>
  <si>
    <t>Nate</t>
  </si>
  <si>
    <t>Lovejoy</t>
  </si>
  <si>
    <t>Lovett</t>
  </si>
  <si>
    <t>Skylar</t>
  </si>
  <si>
    <t>Robison</t>
  </si>
  <si>
    <t>Zack</t>
  </si>
  <si>
    <t>Isaacs</t>
  </si>
  <si>
    <t>Cal State - Fresno</t>
  </si>
  <si>
    <t>Brad</t>
  </si>
  <si>
    <t>Frates</t>
  </si>
  <si>
    <t>Elijah</t>
  </si>
  <si>
    <t>Torres</t>
  </si>
  <si>
    <t>Hailey</t>
  </si>
  <si>
    <t>Ganiron</t>
  </si>
  <si>
    <t>Joshua</t>
  </si>
  <si>
    <t>Kiana</t>
  </si>
  <si>
    <t>Rowe</t>
  </si>
  <si>
    <t>Vick</t>
  </si>
  <si>
    <t>West Texas A&amp;M</t>
  </si>
  <si>
    <t>Solomon</t>
  </si>
  <si>
    <t>Schroyer</t>
  </si>
  <si>
    <t>Julio</t>
  </si>
  <si>
    <t>Rodriguez</t>
  </si>
  <si>
    <t>Matt</t>
  </si>
  <si>
    <t>Lenz</t>
  </si>
  <si>
    <t>Mitchell</t>
  </si>
  <si>
    <t>Whitehead</t>
  </si>
  <si>
    <t>Burgess</t>
  </si>
  <si>
    <t>Ross</t>
  </si>
  <si>
    <t>Scroggins</t>
  </si>
  <si>
    <t>Albracht</t>
  </si>
  <si>
    <t>Wright State</t>
  </si>
  <si>
    <t>Blake</t>
  </si>
  <si>
    <t>Spangler</t>
  </si>
  <si>
    <t>Brandon</t>
  </si>
  <si>
    <t>Fleming</t>
  </si>
  <si>
    <t>Chace</t>
  </si>
  <si>
    <t>Cogar</t>
  </si>
  <si>
    <t>Clay</t>
  </si>
  <si>
    <t>Stutzman</t>
  </si>
  <si>
    <t>Whitacre</t>
  </si>
  <si>
    <t>Skelley</t>
  </si>
  <si>
    <t>Spangenberg</t>
  </si>
  <si>
    <t>McKee</t>
  </si>
  <si>
    <t>Indiana Tech</t>
  </si>
  <si>
    <t>DeJonge</t>
  </si>
  <si>
    <t>Joe</t>
  </si>
  <si>
    <t>McGee</t>
  </si>
  <si>
    <t>Koss</t>
  </si>
  <si>
    <t>Tedd</t>
  </si>
  <si>
    <t>Dickson</t>
  </si>
  <si>
    <t xml:space="preserve">Ty </t>
  </si>
  <si>
    <t>Krepp</t>
  </si>
  <si>
    <t>Hoppe</t>
  </si>
  <si>
    <t>Wisconsin - Oshkosh</t>
  </si>
  <si>
    <t>Henry</t>
  </si>
  <si>
    <t>Spindler</t>
  </si>
  <si>
    <t>Kayla</t>
  </si>
  <si>
    <t>Halvorsen</t>
  </si>
  <si>
    <t>Nicole</t>
  </si>
  <si>
    <t>Tessen</t>
  </si>
  <si>
    <t>Elissa</t>
  </si>
  <si>
    <t>Nicewander</t>
  </si>
  <si>
    <t>Matthew</t>
  </si>
  <si>
    <t>Karney</t>
  </si>
  <si>
    <t>Dennis</t>
  </si>
  <si>
    <t>Kim</t>
  </si>
  <si>
    <t>Baars</t>
  </si>
  <si>
    <t>Esch</t>
  </si>
  <si>
    <t>Urbana</t>
  </si>
  <si>
    <t>Austin</t>
  </si>
  <si>
    <t>Sweet</t>
  </si>
  <si>
    <t>Daulton</t>
  </si>
  <si>
    <t>Cooper</t>
  </si>
  <si>
    <t>Eric</t>
  </si>
  <si>
    <t>Bator</t>
  </si>
  <si>
    <t>Garret</t>
  </si>
  <si>
    <t>Rudasill</t>
  </si>
  <si>
    <t xml:space="preserve">Josh </t>
  </si>
  <si>
    <t>Parkin</t>
  </si>
  <si>
    <t>Cook</t>
  </si>
  <si>
    <t>Terry</t>
  </si>
  <si>
    <t>Snyder</t>
  </si>
  <si>
    <t>Trey</t>
  </si>
  <si>
    <t>Vincennes</t>
  </si>
  <si>
    <t>Deaton</t>
  </si>
  <si>
    <t>Graveel</t>
  </si>
  <si>
    <t>Qwadaris</t>
  </si>
  <si>
    <t>Rembert</t>
  </si>
  <si>
    <t>Benslay</t>
  </si>
  <si>
    <t>Shawn</t>
  </si>
  <si>
    <t>Gibson</t>
  </si>
  <si>
    <t>Tommy</t>
  </si>
  <si>
    <t>Tkacz</t>
  </si>
  <si>
    <t>Perry</t>
  </si>
  <si>
    <t>Highland CC</t>
  </si>
  <si>
    <t>Drey</t>
  </si>
  <si>
    <t>Abbot</t>
  </si>
  <si>
    <t>Ethan</t>
  </si>
  <si>
    <t>Hull</t>
  </si>
  <si>
    <t>Gary</t>
  </si>
  <si>
    <t>Ramey</t>
  </si>
  <si>
    <t>Johnson</t>
  </si>
  <si>
    <t>Kaine</t>
  </si>
  <si>
    <t>McNett</t>
  </si>
  <si>
    <t>Kody</t>
  </si>
  <si>
    <t>Bacher</t>
  </si>
  <si>
    <t>Larry III</t>
  </si>
  <si>
    <t>Tripamer</t>
  </si>
  <si>
    <t>Luke</t>
  </si>
  <si>
    <t>Geiseman</t>
  </si>
  <si>
    <t>St. Francis - Joliet</t>
  </si>
  <si>
    <t>Arturo</t>
  </si>
  <si>
    <t>Cadena</t>
  </si>
  <si>
    <t>David</t>
  </si>
  <si>
    <t>McManus</t>
  </si>
  <si>
    <t xml:space="preserve">Marc </t>
  </si>
  <si>
    <t>Gonzalez</t>
  </si>
  <si>
    <t>Dertz</t>
  </si>
  <si>
    <t>Peter</t>
  </si>
  <si>
    <t>Switalski</t>
  </si>
  <si>
    <t>Marcotte</t>
  </si>
  <si>
    <t>Taveon</t>
  </si>
  <si>
    <t>Roberson</t>
  </si>
  <si>
    <t>Trenton</t>
  </si>
  <si>
    <t>Saucedo</t>
  </si>
  <si>
    <t>Robert Morris - Lake County</t>
  </si>
  <si>
    <t>Knoth</t>
  </si>
  <si>
    <t>Frankie</t>
  </si>
  <si>
    <t>Sinsun</t>
  </si>
  <si>
    <t>Josh</t>
  </si>
  <si>
    <t>Williams</t>
  </si>
  <si>
    <t>Bain</t>
  </si>
  <si>
    <t>Ayala</t>
  </si>
  <si>
    <t>Reitmayer</t>
  </si>
  <si>
    <t>Penn State - Berks</t>
  </si>
  <si>
    <t>Alyssa</t>
  </si>
  <si>
    <t>Piffer</t>
  </si>
  <si>
    <t>Aneudy</t>
  </si>
  <si>
    <t>Santos</t>
  </si>
  <si>
    <t>Joseph</t>
  </si>
  <si>
    <t>Stanavage</t>
  </si>
  <si>
    <t>Diggan</t>
  </si>
  <si>
    <t>Pearson</t>
  </si>
  <si>
    <t>Wike</t>
  </si>
  <si>
    <t>Northern Kentucky</t>
  </si>
  <si>
    <t>McDowell</t>
  </si>
  <si>
    <t>Corey</t>
  </si>
  <si>
    <t>Wilson</t>
  </si>
  <si>
    <t>Holtz</t>
  </si>
  <si>
    <t>Joey</t>
  </si>
  <si>
    <t>Stevens</t>
  </si>
  <si>
    <t>Wood</t>
  </si>
  <si>
    <t>Paul</t>
  </si>
  <si>
    <t>Wagner</t>
  </si>
  <si>
    <t>Trevor</t>
  </si>
  <si>
    <t>Mattingly</t>
  </si>
  <si>
    <t>Zachary</t>
  </si>
  <si>
    <t>Lawson</t>
  </si>
  <si>
    <t>Muskingum</t>
  </si>
  <si>
    <t>McCarty</t>
  </si>
  <si>
    <t>Marlin</t>
  </si>
  <si>
    <t>Milligan</t>
  </si>
  <si>
    <t>Tim</t>
  </si>
  <si>
    <t>Taft</t>
  </si>
  <si>
    <t>Tony</t>
  </si>
  <si>
    <t>Hugo</t>
  </si>
  <si>
    <t>Jones</t>
  </si>
  <si>
    <t>Lindenwood - Belleville</t>
  </si>
  <si>
    <t>AJ</t>
  </si>
  <si>
    <t>Fair</t>
  </si>
  <si>
    <t>Branden</t>
  </si>
  <si>
    <t>Boehnke</t>
  </si>
  <si>
    <t>McMahon</t>
  </si>
  <si>
    <t>Magennis</t>
  </si>
  <si>
    <t>Devin</t>
  </si>
  <si>
    <t>Klotz</t>
  </si>
  <si>
    <t xml:space="preserve">Justin </t>
  </si>
  <si>
    <t>Simpson</t>
  </si>
  <si>
    <t>Scott</t>
  </si>
  <si>
    <t>Hill</t>
  </si>
  <si>
    <t>Heimann</t>
  </si>
  <si>
    <t>Michigan State</t>
  </si>
  <si>
    <t>Errer</t>
  </si>
  <si>
    <t>Travis</t>
  </si>
  <si>
    <t>Holpuch</t>
  </si>
  <si>
    <t>Patrick</t>
  </si>
  <si>
    <t>Mahoney</t>
  </si>
  <si>
    <t>Warren</t>
  </si>
  <si>
    <t>Purvin</t>
  </si>
  <si>
    <t>Aaron</t>
  </si>
  <si>
    <t>Radner</t>
  </si>
  <si>
    <t>Rist</t>
  </si>
  <si>
    <t>Ruark</t>
  </si>
  <si>
    <t>Stokes</t>
  </si>
  <si>
    <t>Lawrence Tech</t>
  </si>
  <si>
    <t>Chase</t>
  </si>
  <si>
    <t>Kaufman</t>
  </si>
  <si>
    <t>Elliot</t>
  </si>
  <si>
    <t>Arnold</t>
  </si>
  <si>
    <t>Jerome II</t>
  </si>
  <si>
    <t>Penxa</t>
  </si>
  <si>
    <t>Alvord</t>
  </si>
  <si>
    <t>Karas</t>
  </si>
  <si>
    <t>McGrath</t>
  </si>
  <si>
    <t>Guillemette</t>
  </si>
  <si>
    <t xml:space="preserve">Huntingon </t>
  </si>
  <si>
    <t>Beckler</t>
  </si>
  <si>
    <t>Jake</t>
  </si>
  <si>
    <t>Neely</t>
  </si>
  <si>
    <t>Coleman</t>
  </si>
  <si>
    <t xml:space="preserve">Seth </t>
  </si>
  <si>
    <t>Walker</t>
  </si>
  <si>
    <t>Steven</t>
  </si>
  <si>
    <t>Roderick</t>
  </si>
  <si>
    <t>Thomas</t>
  </si>
  <si>
    <t>Gunter</t>
  </si>
  <si>
    <t>Central Florida</t>
  </si>
  <si>
    <t>Soto</t>
  </si>
  <si>
    <t>Brenden</t>
  </si>
  <si>
    <t>Falgien</t>
  </si>
  <si>
    <t>Earnest</t>
  </si>
  <si>
    <t>Jordan</t>
  </si>
  <si>
    <t>Lockamy</t>
  </si>
  <si>
    <t>Rodgers</t>
  </si>
  <si>
    <t>Trent</t>
  </si>
  <si>
    <t>Tucker</t>
  </si>
  <si>
    <t>Kansas Wesleyan</t>
  </si>
  <si>
    <t>Russom</t>
  </si>
  <si>
    <t>Resh</t>
  </si>
  <si>
    <t>Serrano</t>
  </si>
  <si>
    <t>Bredehoeft</t>
  </si>
  <si>
    <t>Mickey</t>
  </si>
  <si>
    <t>Bridges</t>
  </si>
  <si>
    <t>Tristen</t>
  </si>
  <si>
    <t>Sowers</t>
  </si>
  <si>
    <t>Clark</t>
  </si>
  <si>
    <t>Alabama - Tuscaloosa</t>
  </si>
  <si>
    <t>Hunter</t>
  </si>
  <si>
    <t>Stewart</t>
  </si>
  <si>
    <t>Charlie</t>
  </si>
  <si>
    <t>Nottingham</t>
  </si>
  <si>
    <t>Shelby</t>
  </si>
  <si>
    <t>Boesen</t>
  </si>
  <si>
    <t>Kelley</t>
  </si>
  <si>
    <t>Grippo</t>
  </si>
  <si>
    <t>McClimans</t>
  </si>
  <si>
    <t>Blair</t>
  </si>
  <si>
    <t>DeShong</t>
  </si>
  <si>
    <t>Garrett</t>
  </si>
  <si>
    <t>Humphryes</t>
  </si>
  <si>
    <t>Canisius</t>
  </si>
  <si>
    <t>Colten</t>
  </si>
  <si>
    <t>Kitcho</t>
  </si>
  <si>
    <t>Dominick</t>
  </si>
  <si>
    <t>Dangelo</t>
  </si>
  <si>
    <t>Jerimiah</t>
  </si>
  <si>
    <t>Wagstaff</t>
  </si>
  <si>
    <t>Kaitlyn</t>
  </si>
  <si>
    <t>Bartz</t>
  </si>
  <si>
    <t>McIntyre</t>
  </si>
  <si>
    <t>Judge</t>
  </si>
  <si>
    <t>Quinn</t>
  </si>
  <si>
    <t>Corrao</t>
  </si>
  <si>
    <t>Samantha</t>
  </si>
  <si>
    <t>Garson</t>
  </si>
  <si>
    <t>Madonna University</t>
  </si>
  <si>
    <t>Orlando</t>
  </si>
  <si>
    <t>Chatman</t>
  </si>
  <si>
    <t>Nordstrom</t>
  </si>
  <si>
    <t>Brett</t>
  </si>
  <si>
    <t>Hebel</t>
  </si>
  <si>
    <t>Frederick</t>
  </si>
  <si>
    <t>Morrow</t>
  </si>
  <si>
    <t>Pedersen</t>
  </si>
  <si>
    <t>Antar</t>
  </si>
  <si>
    <t>Howard</t>
  </si>
  <si>
    <t>Calumet</t>
  </si>
  <si>
    <t>Heritage</t>
  </si>
  <si>
    <t>Yoder</t>
  </si>
  <si>
    <t>Jeffrey</t>
  </si>
  <si>
    <t>Holden</t>
  </si>
  <si>
    <t>Trombetta</t>
  </si>
  <si>
    <t>Davidson</t>
  </si>
  <si>
    <t>Nicco</t>
  </si>
  <si>
    <t>Vicari</t>
  </si>
  <si>
    <t>Nicholas</t>
  </si>
  <si>
    <t>Eckert</t>
  </si>
  <si>
    <t>James</t>
  </si>
  <si>
    <t>Purdue</t>
  </si>
  <si>
    <t>Althoff</t>
  </si>
  <si>
    <t>Brown</t>
  </si>
  <si>
    <t>Stichter</t>
  </si>
  <si>
    <t>Dustin</t>
  </si>
  <si>
    <t>Zehner</t>
  </si>
  <si>
    <t>Jace</t>
  </si>
  <si>
    <t>Miyagi</t>
  </si>
  <si>
    <t>Jackson</t>
  </si>
  <si>
    <t>Cross</t>
  </si>
  <si>
    <t>Jim</t>
  </si>
  <si>
    <t>Pifer</t>
  </si>
  <si>
    <t>Dewey</t>
  </si>
  <si>
    <t>Marian</t>
  </si>
  <si>
    <t>Nathaniel</t>
  </si>
  <si>
    <t>Cranfield</t>
  </si>
  <si>
    <t>Baylen</t>
  </si>
  <si>
    <t>Shoemaker</t>
  </si>
  <si>
    <t>Brian</t>
  </si>
  <si>
    <t>Edwards</t>
  </si>
  <si>
    <t>Diante</t>
  </si>
  <si>
    <t>Fields</t>
  </si>
  <si>
    <t>Blessing</t>
  </si>
  <si>
    <t>Dory</t>
  </si>
  <si>
    <t>Huebschman</t>
  </si>
  <si>
    <t xml:space="preserve">Sam  </t>
  </si>
  <si>
    <t>Atkinson</t>
  </si>
  <si>
    <t>Robert Morris - Illinois</t>
  </si>
  <si>
    <t>Bryan</t>
  </si>
  <si>
    <t>Bourget</t>
  </si>
  <si>
    <t>Benites</t>
  </si>
  <si>
    <t>Dakota</t>
  </si>
  <si>
    <t>Vostry</t>
  </si>
  <si>
    <t>Hanson</t>
  </si>
  <si>
    <t>Kenny</t>
  </si>
  <si>
    <t>Martell</t>
  </si>
  <si>
    <t>Kross</t>
  </si>
  <si>
    <t>Rafael</t>
  </si>
  <si>
    <t>Pizzaro</t>
  </si>
  <si>
    <t>Newman</t>
  </si>
  <si>
    <t>Chance</t>
  </si>
  <si>
    <t>Rivera</t>
  </si>
  <si>
    <t>Alex</t>
  </si>
  <si>
    <t>George</t>
  </si>
  <si>
    <t>Junior</t>
  </si>
  <si>
    <t>Ramirez</t>
  </si>
  <si>
    <t>Loera</t>
  </si>
  <si>
    <t>Provenzano</t>
  </si>
  <si>
    <t>Nathan</t>
  </si>
  <si>
    <t>Brantley</t>
  </si>
  <si>
    <t>Ryker</t>
  </si>
  <si>
    <t>Percival</t>
  </si>
  <si>
    <t>Jimbo</t>
  </si>
  <si>
    <t>Thompson</t>
  </si>
  <si>
    <t>Emmanuel</t>
  </si>
  <si>
    <t>Barrientes</t>
  </si>
  <si>
    <t>Holten</t>
  </si>
  <si>
    <t>Bradshaw</t>
  </si>
  <si>
    <t>Cottle</t>
  </si>
  <si>
    <t>Jimmy</t>
  </si>
  <si>
    <t>Mann</t>
  </si>
  <si>
    <t>Ortiz</t>
  </si>
  <si>
    <t>Sims</t>
  </si>
  <si>
    <t>Suskay</t>
  </si>
  <si>
    <t>Willis</t>
  </si>
  <si>
    <t>Iowa Central CC</t>
  </si>
  <si>
    <t>Markov</t>
  </si>
  <si>
    <t>Freese</t>
  </si>
  <si>
    <t>Caleb</t>
  </si>
  <si>
    <t>Hala</t>
  </si>
  <si>
    <t>Eddy</t>
  </si>
  <si>
    <t>Drew</t>
  </si>
  <si>
    <t>Hansen</t>
  </si>
  <si>
    <t>Ian</t>
  </si>
  <si>
    <t>Wandland</t>
  </si>
  <si>
    <t>Logan</t>
  </si>
  <si>
    <t>Wichita State</t>
  </si>
  <si>
    <t>Biondo</t>
  </si>
  <si>
    <t>Doug</t>
  </si>
  <si>
    <t>Jerod</t>
  </si>
  <si>
    <t>Hromek</t>
  </si>
  <si>
    <t>Zwaschka</t>
  </si>
  <si>
    <t>Kamron</t>
  </si>
  <si>
    <t>Doyle</t>
  </si>
  <si>
    <t>Hupe</t>
  </si>
  <si>
    <t>Packy</t>
  </si>
  <si>
    <t>Hanrahan</t>
  </si>
  <si>
    <t>Wesley</t>
  </si>
  <si>
    <t>Low</t>
  </si>
  <si>
    <t>Martin Methodist</t>
  </si>
  <si>
    <t>Hartigan</t>
  </si>
  <si>
    <t>Timmy</t>
  </si>
  <si>
    <t>Keyser</t>
  </si>
  <si>
    <t>Camden</t>
  </si>
  <si>
    <t>Gutshall</t>
  </si>
  <si>
    <t>Butler</t>
  </si>
  <si>
    <t>Marlow</t>
  </si>
  <si>
    <t>Vito</t>
  </si>
  <si>
    <t>Mazzini</t>
  </si>
  <si>
    <t>Ransom</t>
  </si>
  <si>
    <t>Goonan</t>
  </si>
  <si>
    <t>Arkansas - Fayetteville</t>
  </si>
  <si>
    <t>Johnston</t>
  </si>
  <si>
    <t>Rohr</t>
  </si>
  <si>
    <t>Hallmark</t>
  </si>
  <si>
    <t>Danielle</t>
  </si>
  <si>
    <t>Richards</t>
  </si>
  <si>
    <t>Forrest</t>
  </si>
  <si>
    <t>Fultz</t>
  </si>
  <si>
    <t>Chandler</t>
  </si>
  <si>
    <t>Genty</t>
  </si>
  <si>
    <t>Wisconsin - Milwaukee</t>
  </si>
  <si>
    <t>Shaver</t>
  </si>
  <si>
    <t>Dillon</t>
  </si>
  <si>
    <t>Corwin</t>
  </si>
  <si>
    <t>Loomer</t>
  </si>
  <si>
    <t>Larson</t>
  </si>
  <si>
    <t>Reetz</t>
  </si>
  <si>
    <t>Dahl</t>
  </si>
  <si>
    <t>Schober</t>
  </si>
  <si>
    <t>Spencer</t>
  </si>
  <si>
    <t>Draggoo</t>
  </si>
  <si>
    <t>William Penn</t>
  </si>
  <si>
    <t>Bret</t>
  </si>
  <si>
    <t>Keimig</t>
  </si>
  <si>
    <t>Majka</t>
  </si>
  <si>
    <t>Decker</t>
  </si>
  <si>
    <t>Perdieu</t>
  </si>
  <si>
    <t>Quincy</t>
  </si>
  <si>
    <t>Bruce</t>
  </si>
  <si>
    <t>Stian</t>
  </si>
  <si>
    <t>Hoff</t>
  </si>
  <si>
    <t>SUNY - Stony Brook</t>
  </si>
  <si>
    <t>Giuseppe</t>
  </si>
  <si>
    <t>Lore</t>
  </si>
  <si>
    <t>Tagliaferro</t>
  </si>
  <si>
    <t>Kissel</t>
  </si>
  <si>
    <t>Ruben</t>
  </si>
  <si>
    <t>Murray</t>
  </si>
  <si>
    <t>Henle</t>
  </si>
  <si>
    <t>RIT</t>
  </si>
  <si>
    <t>Behrens</t>
  </si>
  <si>
    <t>Ben</t>
  </si>
  <si>
    <t xml:space="preserve">Hall </t>
  </si>
  <si>
    <t>Billy</t>
  </si>
  <si>
    <t>Olszewski</t>
  </si>
  <si>
    <t>Lakind</t>
  </si>
  <si>
    <t>Dingman</t>
  </si>
  <si>
    <t>Rafif</t>
  </si>
  <si>
    <t>Santoso</t>
  </si>
  <si>
    <t>Pikeville</t>
  </si>
  <si>
    <t>Hoffman</t>
  </si>
  <si>
    <t>Letscher</t>
  </si>
  <si>
    <t>Dubuc</t>
  </si>
  <si>
    <t>Horrell</t>
  </si>
  <si>
    <t>Encarnacion</t>
  </si>
  <si>
    <t>Cleary</t>
  </si>
  <si>
    <t>Diamond</t>
  </si>
  <si>
    <t>Craft</t>
  </si>
  <si>
    <t>Waldorf</t>
  </si>
  <si>
    <t>Damon</t>
  </si>
  <si>
    <t>Helgevold</t>
  </si>
  <si>
    <t>Swiderski</t>
  </si>
  <si>
    <t>Templin</t>
  </si>
  <si>
    <t>Heimerman</t>
  </si>
  <si>
    <t xml:space="preserve">Roger </t>
  </si>
  <si>
    <t>Harford</t>
  </si>
  <si>
    <t>Tanner</t>
  </si>
  <si>
    <t>Schmitz</t>
  </si>
  <si>
    <t>Nebraska - Lincoln</t>
  </si>
  <si>
    <t>Alix</t>
  </si>
  <si>
    <t>Meisinger</t>
  </si>
  <si>
    <t>Burbine</t>
  </si>
  <si>
    <t>Benjamin</t>
  </si>
  <si>
    <t>Vanness</t>
  </si>
  <si>
    <t>Lizzie</t>
  </si>
  <si>
    <t>Dunavin</t>
  </si>
  <si>
    <t>Rutledge</t>
  </si>
  <si>
    <t>Richard IV</t>
  </si>
  <si>
    <t>Blue</t>
  </si>
  <si>
    <t>Wade</t>
  </si>
  <si>
    <t>Brugger</t>
  </si>
  <si>
    <t>Lincoln Memorial</t>
  </si>
  <si>
    <t>Ranere</t>
  </si>
  <si>
    <t>St.Onge</t>
  </si>
  <si>
    <t>Cameron</t>
  </si>
  <si>
    <t>Cofield</t>
  </si>
  <si>
    <t>O'Neill</t>
  </si>
  <si>
    <t>Halseth</t>
  </si>
  <si>
    <t>Jabar</t>
  </si>
  <si>
    <t>Mason</t>
  </si>
  <si>
    <t>Yamada</t>
  </si>
  <si>
    <t>Wisconsin - Whitewater</t>
  </si>
  <si>
    <t>Turner</t>
  </si>
  <si>
    <t>Foertsch</t>
  </si>
  <si>
    <t>Wiley</t>
  </si>
  <si>
    <t>Eggert</t>
  </si>
  <si>
    <t>Fakler</t>
  </si>
  <si>
    <t>Pate</t>
  </si>
  <si>
    <t>Winters</t>
  </si>
  <si>
    <t>Woelfel</t>
  </si>
  <si>
    <t>Grand View</t>
  </si>
  <si>
    <t>Dacoda</t>
  </si>
  <si>
    <t>Ewalt</t>
  </si>
  <si>
    <t>Lane</t>
  </si>
  <si>
    <t>Richtsmeier</t>
  </si>
  <si>
    <t>Fisher</t>
  </si>
  <si>
    <t>Schroeder</t>
  </si>
  <si>
    <t>Maciejewski</t>
  </si>
  <si>
    <t>Felton</t>
  </si>
  <si>
    <t>Cantrell</t>
  </si>
  <si>
    <t>South Florida</t>
  </si>
  <si>
    <t>Ayers</t>
  </si>
  <si>
    <t>Gauroniak</t>
  </si>
  <si>
    <t>Beckenbaugh</t>
  </si>
  <si>
    <t>Morrissey</t>
  </si>
  <si>
    <t>Eder</t>
  </si>
  <si>
    <t>Walsh</t>
  </si>
  <si>
    <t>Campbellsville</t>
  </si>
  <si>
    <t>Lissik</t>
  </si>
  <si>
    <t>Christian</t>
  </si>
  <si>
    <t>Thurman</t>
  </si>
  <si>
    <t>Devon</t>
  </si>
  <si>
    <t>Gunderson</t>
  </si>
  <si>
    <t>McKinley</t>
  </si>
  <si>
    <t>Knopp</t>
  </si>
  <si>
    <t>Bremer</t>
  </si>
  <si>
    <t>London</t>
  </si>
  <si>
    <t>Prince</t>
  </si>
  <si>
    <t>Notre Dame - Ohio</t>
  </si>
  <si>
    <t>Elizondo</t>
  </si>
  <si>
    <t>Vincent</t>
  </si>
  <si>
    <t>Baller</t>
  </si>
  <si>
    <t>Casey</t>
  </si>
  <si>
    <t>Cohagen</t>
  </si>
  <si>
    <t>Malik</t>
  </si>
  <si>
    <t>Grove</t>
  </si>
  <si>
    <t>Meeco</t>
  </si>
  <si>
    <t xml:space="preserve">Ryan </t>
  </si>
  <si>
    <t>Ashby</t>
  </si>
  <si>
    <t>Bowling Green State</t>
  </si>
  <si>
    <t>Reno</t>
  </si>
  <si>
    <t>Brady</t>
  </si>
  <si>
    <t>Dunigan</t>
  </si>
  <si>
    <t>Brennan</t>
  </si>
  <si>
    <t>Reynolds</t>
  </si>
  <si>
    <t>Armstrong</t>
  </si>
  <si>
    <t xml:space="preserve">Jacob </t>
  </si>
  <si>
    <t>Drennan</t>
  </si>
  <si>
    <t>Waynick</t>
  </si>
  <si>
    <t>St. Johns</t>
  </si>
  <si>
    <t>Alika</t>
  </si>
  <si>
    <t>Vendiola</t>
  </si>
  <si>
    <t>Fenn</t>
  </si>
  <si>
    <t>Villa</t>
  </si>
  <si>
    <t>Naujokas</t>
  </si>
  <si>
    <t>Soedamasto</t>
  </si>
  <si>
    <t>Vietri</t>
  </si>
  <si>
    <t>Blanco</t>
  </si>
  <si>
    <t>Zachery</t>
  </si>
  <si>
    <t>Porter</t>
  </si>
  <si>
    <t>Central Oklahoma</t>
  </si>
  <si>
    <t>Beasley</t>
  </si>
  <si>
    <t>Melman</t>
  </si>
  <si>
    <t>Gomez</t>
  </si>
  <si>
    <t>Poulton</t>
  </si>
  <si>
    <t>Vaughn</t>
  </si>
  <si>
    <t>Nichols</t>
  </si>
  <si>
    <t>Dawkins</t>
  </si>
  <si>
    <t>Judy</t>
  </si>
  <si>
    <t>Concordia</t>
  </si>
  <si>
    <t>Madsen</t>
  </si>
  <si>
    <t>Kirby</t>
  </si>
  <si>
    <t>Mikio</t>
  </si>
  <si>
    <t>Osugi</t>
  </si>
  <si>
    <t>Nicklas</t>
  </si>
  <si>
    <t>Bell</t>
  </si>
  <si>
    <t>Hazel</t>
  </si>
  <si>
    <t>Missouri Baptist</t>
  </si>
  <si>
    <t>Vancil</t>
  </si>
  <si>
    <t>Carril</t>
  </si>
  <si>
    <t>Schauf</t>
  </si>
  <si>
    <t>Mack</t>
  </si>
  <si>
    <t>Ivory</t>
  </si>
  <si>
    <t>Stephen</t>
  </si>
  <si>
    <t>Swyers</t>
  </si>
  <si>
    <t>Anderson</t>
  </si>
  <si>
    <t>Terrance</t>
  </si>
  <si>
    <t>Mount Mercy</t>
  </si>
  <si>
    <t>Brice</t>
  </si>
  <si>
    <t>Haugh</t>
  </si>
  <si>
    <t>Catalano-Wild</t>
  </si>
  <si>
    <t>Barnett</t>
  </si>
  <si>
    <t>Kodie</t>
  </si>
  <si>
    <t>Langer</t>
  </si>
  <si>
    <t>Siena Heights</t>
  </si>
  <si>
    <t>Criscenti</t>
  </si>
  <si>
    <t>Keith</t>
  </si>
  <si>
    <t>Reid</t>
  </si>
  <si>
    <t>Burciaga</t>
  </si>
  <si>
    <t>Mulqueen</t>
  </si>
  <si>
    <t>Cadwell</t>
  </si>
  <si>
    <t>Shaffran</t>
  </si>
  <si>
    <t>Colosimo</t>
  </si>
  <si>
    <t>St. Ambrose</t>
  </si>
  <si>
    <t>Denton</t>
  </si>
  <si>
    <t>Dodge</t>
  </si>
  <si>
    <t>Hibbard</t>
  </si>
  <si>
    <t>Sramek</t>
  </si>
  <si>
    <t>Brent</t>
  </si>
  <si>
    <t>Boho</t>
  </si>
  <si>
    <t>Jonathan</t>
  </si>
  <si>
    <t>Labrador</t>
  </si>
  <si>
    <t>Krol</t>
  </si>
  <si>
    <t>Russell</t>
  </si>
  <si>
    <t>Deer</t>
  </si>
  <si>
    <t>Culver - Stockton College</t>
  </si>
  <si>
    <t>Curttright</t>
  </si>
  <si>
    <t>Inman</t>
  </si>
  <si>
    <t>Pierce</t>
  </si>
  <si>
    <t>Cannon</t>
  </si>
  <si>
    <t>Ousley</t>
  </si>
  <si>
    <t>Krzywonos</t>
  </si>
  <si>
    <t>Robbie</t>
  </si>
  <si>
    <t>Loehner</t>
  </si>
  <si>
    <t>Baker</t>
  </si>
  <si>
    <t>Illinois State</t>
  </si>
  <si>
    <t>Alec</t>
  </si>
  <si>
    <t>Tau</t>
  </si>
  <si>
    <t>Aron</t>
  </si>
  <si>
    <t>Applegate</t>
  </si>
  <si>
    <t>Townsend</t>
  </si>
  <si>
    <t>Epstein</t>
  </si>
  <si>
    <t>Estima</t>
  </si>
  <si>
    <t>Keaton</t>
  </si>
  <si>
    <t>Nonnemacher</t>
  </si>
  <si>
    <t>LT</t>
  </si>
  <si>
    <t>King</t>
  </si>
  <si>
    <t>Midland</t>
  </si>
  <si>
    <t>Karr</t>
  </si>
  <si>
    <t>Maxted</t>
  </si>
  <si>
    <t>Roberts</t>
  </si>
  <si>
    <t>Kolby</t>
  </si>
  <si>
    <t>Crowell</t>
  </si>
  <si>
    <t>Landen</t>
  </si>
  <si>
    <t>Weber</t>
  </si>
  <si>
    <t>Moore</t>
  </si>
  <si>
    <t>Wisconsin - Madison</t>
  </si>
  <si>
    <t>Cayman</t>
  </si>
  <si>
    <t>Eddie</t>
  </si>
  <si>
    <t>Boadwine</t>
  </si>
  <si>
    <t>Krueger</t>
  </si>
  <si>
    <t>Cherney</t>
  </si>
  <si>
    <t>Zierer</t>
  </si>
  <si>
    <t>Arne</t>
  </si>
  <si>
    <t>Kivimaki</t>
  </si>
  <si>
    <t>Ball State</t>
  </si>
  <si>
    <t>Braden</t>
  </si>
  <si>
    <t>DeShon</t>
  </si>
  <si>
    <t>Cory</t>
  </si>
  <si>
    <t>Craig</t>
  </si>
  <si>
    <t>Elsworth</t>
  </si>
  <si>
    <t>Pugh</t>
  </si>
  <si>
    <t>Rhoad</t>
  </si>
  <si>
    <t>San Jose State</t>
  </si>
  <si>
    <t>Adrian</t>
  </si>
  <si>
    <t>Mercado</t>
  </si>
  <si>
    <t>Gilbert</t>
  </si>
  <si>
    <t>Calvin</t>
  </si>
  <si>
    <t>Au</t>
  </si>
  <si>
    <t>Tang</t>
  </si>
  <si>
    <t>Mazon</t>
  </si>
  <si>
    <t>Piroz</t>
  </si>
  <si>
    <t>Tahriri</t>
  </si>
  <si>
    <t>Saginaw Valley</t>
  </si>
  <si>
    <t>Hernandez</t>
  </si>
  <si>
    <t>Wealther</t>
  </si>
  <si>
    <t>Puckett</t>
  </si>
  <si>
    <t>Ziarnowski</t>
  </si>
  <si>
    <t>Chouinard</t>
  </si>
  <si>
    <t>Shane</t>
  </si>
  <si>
    <t>Barthlow</t>
  </si>
  <si>
    <t>Toledo</t>
  </si>
  <si>
    <t>Sokol</t>
  </si>
  <si>
    <t>Carl</t>
  </si>
  <si>
    <t>Haberstro</t>
  </si>
  <si>
    <t>Nolan</t>
  </si>
  <si>
    <t>Parsons</t>
  </si>
  <si>
    <t xml:space="preserve">Tim  </t>
  </si>
  <si>
    <t>Alderson</t>
  </si>
  <si>
    <t>Kominek</t>
  </si>
  <si>
    <t>Wall</t>
  </si>
  <si>
    <t>Lindenwood</t>
  </si>
  <si>
    <t>Coffey</t>
  </si>
  <si>
    <t>Dragotta</t>
  </si>
  <si>
    <t>Klein</t>
  </si>
  <si>
    <t>Rodolfo</t>
  </si>
  <si>
    <t>Madriz</t>
  </si>
  <si>
    <t>Pozzi</t>
  </si>
  <si>
    <t>Jayson</t>
  </si>
  <si>
    <t>Robarge</t>
  </si>
  <si>
    <t>Stubblefield</t>
  </si>
  <si>
    <t>Webber International</t>
  </si>
  <si>
    <t>Yuratovich</t>
  </si>
  <si>
    <t>Veney</t>
  </si>
  <si>
    <t>Lance</t>
  </si>
  <si>
    <t>Giorgio</t>
  </si>
  <si>
    <t>Clinaz</t>
  </si>
  <si>
    <t>Russo</t>
  </si>
  <si>
    <t xml:space="preserve">Max </t>
  </si>
  <si>
    <t>Tamburrino</t>
  </si>
  <si>
    <t>Ramon</t>
  </si>
  <si>
    <t>Hilferink</t>
  </si>
  <si>
    <t>Foate</t>
  </si>
  <si>
    <t>Dylin</t>
  </si>
  <si>
    <t>Jadin</t>
  </si>
  <si>
    <t>Majewski</t>
  </si>
  <si>
    <t>Jonah</t>
  </si>
  <si>
    <t>Boot</t>
  </si>
  <si>
    <t>VanCampen</t>
  </si>
  <si>
    <t>Friedel</t>
  </si>
  <si>
    <t>Nicoson</t>
  </si>
  <si>
    <t>Caudill</t>
  </si>
  <si>
    <t>Indiana</t>
  </si>
  <si>
    <t>Nunn</t>
  </si>
  <si>
    <t>Charles</t>
  </si>
  <si>
    <t>Brooks</t>
  </si>
  <si>
    <t>Hardcastle</t>
  </si>
  <si>
    <t>Jack</t>
  </si>
  <si>
    <t>McGuinn</t>
  </si>
  <si>
    <t>Allman</t>
  </si>
  <si>
    <t>McKendree</t>
  </si>
  <si>
    <t>Armando</t>
  </si>
  <si>
    <t>Godoy</t>
  </si>
  <si>
    <t>Hahlen</t>
  </si>
  <si>
    <t>Grey</t>
  </si>
  <si>
    <t>Young</t>
  </si>
  <si>
    <t>Mooney</t>
  </si>
  <si>
    <t>Thorsten</t>
  </si>
  <si>
    <t>Przychocki</t>
  </si>
  <si>
    <t>Notre Dame - Indiana</t>
  </si>
  <si>
    <t>Moccio</t>
  </si>
  <si>
    <t>Pedler</t>
  </si>
  <si>
    <t>Dollinger</t>
  </si>
  <si>
    <t>Collins</t>
  </si>
  <si>
    <t>Ryhan</t>
  </si>
  <si>
    <t>Heppeler</t>
  </si>
  <si>
    <t>Good</t>
  </si>
  <si>
    <t>Victor</t>
  </si>
  <si>
    <t>Luna</t>
  </si>
  <si>
    <t>Ohio State</t>
  </si>
  <si>
    <t>Zaccarella</t>
  </si>
  <si>
    <t>Stebbins</t>
  </si>
  <si>
    <t>Merk</t>
  </si>
  <si>
    <t>Oravecz</t>
  </si>
  <si>
    <t>Heaston</t>
  </si>
  <si>
    <t>Olson</t>
  </si>
  <si>
    <t>Bridenstine</t>
  </si>
  <si>
    <t>William Paterson</t>
  </si>
  <si>
    <t>Dekowski</t>
  </si>
  <si>
    <t>Runk</t>
  </si>
  <si>
    <t>Rollins</t>
  </si>
  <si>
    <t>Campanelli</t>
  </si>
  <si>
    <t>Steve</t>
  </si>
  <si>
    <t>Kotowski</t>
  </si>
  <si>
    <t>Greco</t>
  </si>
  <si>
    <t>Allye</t>
  </si>
  <si>
    <t>Clayton</t>
  </si>
  <si>
    <t>Amber</t>
  </si>
  <si>
    <t>Drake</t>
  </si>
  <si>
    <t>Charlisa</t>
  </si>
  <si>
    <t>Cassady</t>
  </si>
  <si>
    <t>Hannah</t>
  </si>
  <si>
    <t>Coffman</t>
  </si>
  <si>
    <t>Kami</t>
  </si>
  <si>
    <t>Devine</t>
  </si>
  <si>
    <t>Kristen</t>
  </si>
  <si>
    <t>Gorski</t>
  </si>
  <si>
    <t>Mikayla</t>
  </si>
  <si>
    <t>Lilly</t>
  </si>
  <si>
    <t>Shyann</t>
  </si>
  <si>
    <t>Boyer</t>
  </si>
  <si>
    <t>Jessica</t>
  </si>
  <si>
    <t>Howell</t>
  </si>
  <si>
    <t>Jordyn</t>
  </si>
  <si>
    <t>Kirschbaum</t>
  </si>
  <si>
    <t>Salow</t>
  </si>
  <si>
    <t>Liz</t>
  </si>
  <si>
    <t>Gonner</t>
  </si>
  <si>
    <t>Mercedes</t>
  </si>
  <si>
    <t>Munoz</t>
  </si>
  <si>
    <t>Sarah</t>
  </si>
  <si>
    <t>Grable</t>
  </si>
  <si>
    <t>Shanna</t>
  </si>
  <si>
    <t>Kolsrud</t>
  </si>
  <si>
    <t>Ariel</t>
  </si>
  <si>
    <t>Cantieri</t>
  </si>
  <si>
    <t>Caitlin</t>
  </si>
  <si>
    <t>ODonovan</t>
  </si>
  <si>
    <t>Emily</t>
  </si>
  <si>
    <t>Hughes</t>
  </si>
  <si>
    <t>Katie</t>
  </si>
  <si>
    <t>Kurz</t>
  </si>
  <si>
    <t>Crane</t>
  </si>
  <si>
    <t>Melissa</t>
  </si>
  <si>
    <t>Mutters</t>
  </si>
  <si>
    <t>Engstrom</t>
  </si>
  <si>
    <t>Lincoln</t>
  </si>
  <si>
    <t>Dominique</t>
  </si>
  <si>
    <t>Lee</t>
  </si>
  <si>
    <t>Hale</t>
  </si>
  <si>
    <t>Jenecia</t>
  </si>
  <si>
    <t>Nirvani</t>
  </si>
  <si>
    <t>Amarakoon</t>
  </si>
  <si>
    <t>Olivia</t>
  </si>
  <si>
    <t>Rios</t>
  </si>
  <si>
    <t>Orianna</t>
  </si>
  <si>
    <t>Cincinnati</t>
  </si>
  <si>
    <t>Audrey</t>
  </si>
  <si>
    <t>Routt</t>
  </si>
  <si>
    <t>Lindsey</t>
  </si>
  <si>
    <t>Gehlenborg</t>
  </si>
  <si>
    <t>Niesz</t>
  </si>
  <si>
    <t>Ewing</t>
  </si>
  <si>
    <t>Sierra</t>
  </si>
  <si>
    <t>Richardson</t>
  </si>
  <si>
    <t>Brehm</t>
  </si>
  <si>
    <t>Brandie Jo</t>
  </si>
  <si>
    <t>Tinlin</t>
  </si>
  <si>
    <t>Carmie</t>
  </si>
  <si>
    <t>Shook</t>
  </si>
  <si>
    <t>Storts</t>
  </si>
  <si>
    <t>Kassidy</t>
  </si>
  <si>
    <t>Offenbaker</t>
  </si>
  <si>
    <t>Patsy</t>
  </si>
  <si>
    <t>Tyo</t>
  </si>
  <si>
    <t>Stacey</t>
  </si>
  <si>
    <t>Tripp</t>
  </si>
  <si>
    <t>Summer</t>
  </si>
  <si>
    <t>Finley</t>
  </si>
  <si>
    <t>Oster</t>
  </si>
  <si>
    <t>Colleen</t>
  </si>
  <si>
    <t>Hines</t>
  </si>
  <si>
    <t>Neikamp</t>
  </si>
  <si>
    <t>Kira</t>
  </si>
  <si>
    <t>Lade</t>
  </si>
  <si>
    <t>Leslie</t>
  </si>
  <si>
    <t>Campbell</t>
  </si>
  <si>
    <t>Carpenter</t>
  </si>
  <si>
    <t>Tori</t>
  </si>
  <si>
    <t>Pappas</t>
  </si>
  <si>
    <t>Aliya</t>
  </si>
  <si>
    <t>March</t>
  </si>
  <si>
    <t>Harrison</t>
  </si>
  <si>
    <t>Emma</t>
  </si>
  <si>
    <t>Kukelhan</t>
  </si>
  <si>
    <t>Morris</t>
  </si>
  <si>
    <t>Kelsey</t>
  </si>
  <si>
    <t>Henlsey</t>
  </si>
  <si>
    <t>Megan</t>
  </si>
  <si>
    <t>Thorncroft</t>
  </si>
  <si>
    <t>Sydney</t>
  </si>
  <si>
    <t>Renner</t>
  </si>
  <si>
    <t>Alexis</t>
  </si>
  <si>
    <t>Cox</t>
  </si>
  <si>
    <t>Chelsie</t>
  </si>
  <si>
    <t>Rummage</t>
  </si>
  <si>
    <t>Singer</t>
  </si>
  <si>
    <t>Elizabeth</t>
  </si>
  <si>
    <t>Manes</t>
  </si>
  <si>
    <t>Maneke</t>
  </si>
  <si>
    <t>Reust</t>
  </si>
  <si>
    <t>Mikaela</t>
  </si>
  <si>
    <t>Hiatt</t>
  </si>
  <si>
    <t>Diefenbacher</t>
  </si>
  <si>
    <t>Ashley</t>
  </si>
  <si>
    <t>Alexander</t>
  </si>
  <si>
    <t>Esmeraldo</t>
  </si>
  <si>
    <t>Osorio</t>
  </si>
  <si>
    <t>Frank</t>
  </si>
  <si>
    <t>Ruth</t>
  </si>
  <si>
    <t>Amponsah</t>
  </si>
  <si>
    <t>Samie</t>
  </si>
  <si>
    <t>Schmidt</t>
  </si>
  <si>
    <t>Vanessa</t>
  </si>
  <si>
    <t>Marquina</t>
  </si>
  <si>
    <t>Xochilt</t>
  </si>
  <si>
    <t>Garcia</t>
  </si>
  <si>
    <t>Angela</t>
  </si>
  <si>
    <t>Leap</t>
  </si>
  <si>
    <t>Aubree</t>
  </si>
  <si>
    <t>Trexler</t>
  </si>
  <si>
    <t>Koulis</t>
  </si>
  <si>
    <t>Neu</t>
  </si>
  <si>
    <t>Kodilee</t>
  </si>
  <si>
    <t>Underwood</t>
  </si>
  <si>
    <t>Fogliasso</t>
  </si>
  <si>
    <t>Martin</t>
  </si>
  <si>
    <t>Davis</t>
  </si>
  <si>
    <t>Savannah College</t>
  </si>
  <si>
    <t>Arissa</t>
  </si>
  <si>
    <t>Bryn</t>
  </si>
  <si>
    <t>Jamie</t>
  </si>
  <si>
    <t>Gray</t>
  </si>
  <si>
    <t>Kerri</t>
  </si>
  <si>
    <t>Kyra</t>
  </si>
  <si>
    <t>Chambers</t>
  </si>
  <si>
    <t>Paola</t>
  </si>
  <si>
    <t>Limon</t>
  </si>
  <si>
    <t>Shakaina</t>
  </si>
  <si>
    <t>Querero</t>
  </si>
  <si>
    <t>Veronica</t>
  </si>
  <si>
    <t>Cepeda</t>
  </si>
  <si>
    <t>Abigail</t>
  </si>
  <si>
    <t>Ogden</t>
  </si>
  <si>
    <t>Chelsey</t>
  </si>
  <si>
    <t>Copas</t>
  </si>
  <si>
    <t>Katey</t>
  </si>
  <si>
    <t>Kaitlynn</t>
  </si>
  <si>
    <t>Portner</t>
  </si>
  <si>
    <t>Maude</t>
  </si>
  <si>
    <t>Demers</t>
  </si>
  <si>
    <t>Paige</t>
  </si>
  <si>
    <t>Patricia</t>
  </si>
  <si>
    <t>Bodey</t>
  </si>
  <si>
    <t>Shawna</t>
  </si>
  <si>
    <t>Lambert</t>
  </si>
  <si>
    <t>Ovel</t>
  </si>
  <si>
    <t>Audra</t>
  </si>
  <si>
    <t>Farley</t>
  </si>
  <si>
    <t>Palmer</t>
  </si>
  <si>
    <t>Briell</t>
  </si>
  <si>
    <t>Newberry</t>
  </si>
  <si>
    <t>Cybil</t>
  </si>
  <si>
    <t>Lennie</t>
  </si>
  <si>
    <t>Gifford</t>
  </si>
  <si>
    <t>MacKenzie</t>
  </si>
  <si>
    <t>Boyd</t>
  </si>
  <si>
    <t>Anna</t>
  </si>
  <si>
    <t>Andersson</t>
  </si>
  <si>
    <t>Becca</t>
  </si>
  <si>
    <t>Czlapinski</t>
  </si>
  <si>
    <t>Caitlyn</t>
  </si>
  <si>
    <t>Kelly</t>
  </si>
  <si>
    <t>Skalacki</t>
  </si>
  <si>
    <t>Lauren</t>
  </si>
  <si>
    <t>Snipes</t>
  </si>
  <si>
    <t>Stephanie</t>
  </si>
  <si>
    <t>Vetero</t>
  </si>
  <si>
    <t>Bulthuis</t>
  </si>
  <si>
    <t>Olsen</t>
  </si>
  <si>
    <t>Cara</t>
  </si>
  <si>
    <t>Stasel</t>
  </si>
  <si>
    <t>Chasey</t>
  </si>
  <si>
    <t>Cubine</t>
  </si>
  <si>
    <t>Chelsea</t>
  </si>
  <si>
    <t>Lein</t>
  </si>
  <si>
    <t>Christalynn</t>
  </si>
  <si>
    <t>Bonifacio</t>
  </si>
  <si>
    <t>Courtney</t>
  </si>
  <si>
    <t>Gaskins</t>
  </si>
  <si>
    <t>Destiny</t>
  </si>
  <si>
    <t>Harper</t>
  </si>
  <si>
    <t>Farrow</t>
  </si>
  <si>
    <t>Ginther</t>
  </si>
  <si>
    <t>Ruehle</t>
  </si>
  <si>
    <t>Erika</t>
  </si>
  <si>
    <t>Jonet</t>
  </si>
  <si>
    <t>Jenna</t>
  </si>
  <si>
    <t>Daroszewski</t>
  </si>
  <si>
    <t>Pfeiffer</t>
  </si>
  <si>
    <t>Kadee</t>
  </si>
  <si>
    <t>Jankowski</t>
  </si>
  <si>
    <t>Indiana - Bloomington</t>
  </si>
  <si>
    <t>Immel</t>
  </si>
  <si>
    <t>Hack</t>
  </si>
  <si>
    <t>Brucker</t>
  </si>
  <si>
    <t>Baugh</t>
  </si>
  <si>
    <t>Savannah</t>
  </si>
  <si>
    <t>Hoke</t>
  </si>
  <si>
    <t>Tiaunna</t>
  </si>
  <si>
    <t>Piechowiak</t>
  </si>
  <si>
    <t>Mandy</t>
  </si>
  <si>
    <t>Pritzlaff</t>
  </si>
  <si>
    <t>Katarina</t>
  </si>
  <si>
    <t>Zeigler</t>
  </si>
  <si>
    <t>Kristin</t>
  </si>
  <si>
    <t>Galli</t>
  </si>
  <si>
    <t>Mallory</t>
  </si>
  <si>
    <t>Berner</t>
  </si>
  <si>
    <t>Dani</t>
  </si>
  <si>
    <t>Berrien</t>
  </si>
  <si>
    <t>Dene</t>
  </si>
  <si>
    <t>Standifer</t>
  </si>
  <si>
    <t>Halley</t>
  </si>
  <si>
    <t>Brattkus</t>
  </si>
  <si>
    <t>Kaylan</t>
  </si>
  <si>
    <t>Talley</t>
  </si>
  <si>
    <t>Sides</t>
  </si>
  <si>
    <t>McKayla</t>
  </si>
  <si>
    <t>Green</t>
  </si>
  <si>
    <t>Raven</t>
  </si>
  <si>
    <t>LeFlore</t>
  </si>
  <si>
    <t>Arianna</t>
  </si>
  <si>
    <t>Woodrow</t>
  </si>
  <si>
    <t>Brittney</t>
  </si>
  <si>
    <t>Antonelli</t>
  </si>
  <si>
    <t>Jennifer</t>
  </si>
  <si>
    <t>Stone</t>
  </si>
  <si>
    <t>Marissa</t>
  </si>
  <si>
    <t>Land</t>
  </si>
  <si>
    <t>Lasky</t>
  </si>
  <si>
    <t>Allie</t>
  </si>
  <si>
    <t>Beth</t>
  </si>
  <si>
    <t>Irwin</t>
  </si>
  <si>
    <t>Cristina</t>
  </si>
  <si>
    <t>Scheuerman</t>
  </si>
  <si>
    <t>Jacqueline</t>
  </si>
  <si>
    <t>DuCharme</t>
  </si>
  <si>
    <t>Kailey</t>
  </si>
  <si>
    <t>Pardue</t>
  </si>
  <si>
    <t>Madisen</t>
  </si>
  <si>
    <t>Rye</t>
  </si>
  <si>
    <t>Ternes</t>
  </si>
  <si>
    <t>Howes</t>
  </si>
  <si>
    <t>Alanna</t>
  </si>
  <si>
    <t>Dierking</t>
  </si>
  <si>
    <t>Allyson</t>
  </si>
  <si>
    <t>Ware</t>
  </si>
  <si>
    <t xml:space="preserve">Britt  </t>
  </si>
  <si>
    <t>Juhl</t>
  </si>
  <si>
    <t>Brittany</t>
  </si>
  <si>
    <t>Crittenden</t>
  </si>
  <si>
    <t>Bahr</t>
  </si>
  <si>
    <t>Caressa</t>
  </si>
  <si>
    <t>Martinez</t>
  </si>
  <si>
    <t>Mackenzie</t>
  </si>
  <si>
    <t>Carly</t>
  </si>
  <si>
    <t>Luken</t>
  </si>
  <si>
    <t>Cheyenne</t>
  </si>
  <si>
    <t>Kloczynski</t>
  </si>
  <si>
    <t>Henceroth</t>
  </si>
  <si>
    <t>Katherine</t>
  </si>
  <si>
    <t>Przybylski</t>
  </si>
  <si>
    <t>Beighley</t>
  </si>
  <si>
    <t>Miranda</t>
  </si>
  <si>
    <t>Romano</t>
  </si>
  <si>
    <t>Rachel</t>
  </si>
  <si>
    <t>Bianculli</t>
  </si>
  <si>
    <t>Muraoka</t>
  </si>
  <si>
    <t>Brianna</t>
  </si>
  <si>
    <t>Oftedahl</t>
  </si>
  <si>
    <t>Candice</t>
  </si>
  <si>
    <t>Goldfinch</t>
  </si>
  <si>
    <t>Chloe</t>
  </si>
  <si>
    <t>Bartlett</t>
  </si>
  <si>
    <t>Haley</t>
  </si>
  <si>
    <t>Hall</t>
  </si>
  <si>
    <t>Nguyen</t>
  </si>
  <si>
    <t>Whitney</t>
  </si>
  <si>
    <t>Laritson</t>
  </si>
  <si>
    <t>Wylicia</t>
  </si>
  <si>
    <t>Faley</t>
  </si>
  <si>
    <t>Ireland</t>
  </si>
  <si>
    <t>Jasmyn</t>
  </si>
  <si>
    <t>Ebner</t>
  </si>
  <si>
    <t>Katheryn</t>
  </si>
  <si>
    <t>DeForest</t>
  </si>
  <si>
    <t>Hornsby</t>
  </si>
  <si>
    <t>Malloree</t>
  </si>
  <si>
    <t>Ambs</t>
  </si>
  <si>
    <t>Podlaszuk</t>
  </si>
  <si>
    <t>Serena</t>
  </si>
  <si>
    <t>Belanger</t>
  </si>
  <si>
    <t>Huntington</t>
  </si>
  <si>
    <t>Atkins</t>
  </si>
  <si>
    <t>Cearbaugh</t>
  </si>
  <si>
    <t>Fish</t>
  </si>
  <si>
    <t>Brooke</t>
  </si>
  <si>
    <t>Ciara</t>
  </si>
  <si>
    <t>Lovell</t>
  </si>
  <si>
    <t>Hanna</t>
  </si>
  <si>
    <t>Loadholtz</t>
  </si>
  <si>
    <t>Heidi</t>
  </si>
  <si>
    <t>Price</t>
  </si>
  <si>
    <t>Gauthier</t>
  </si>
  <si>
    <t>Harley</t>
  </si>
  <si>
    <t>Hysell</t>
  </si>
  <si>
    <t>Jericka</t>
  </si>
  <si>
    <t>Mazei</t>
  </si>
  <si>
    <t>Sleda</t>
  </si>
  <si>
    <t>Schulz</t>
  </si>
  <si>
    <t>Britney</t>
  </si>
  <si>
    <t>Brooklyn</t>
  </si>
  <si>
    <t>Greene</t>
  </si>
  <si>
    <t>Ermisch</t>
  </si>
  <si>
    <t>Mattie</t>
  </si>
  <si>
    <t>Brandos</t>
  </si>
  <si>
    <t>Guernsey</t>
  </si>
  <si>
    <t>Stary</t>
  </si>
  <si>
    <t>Cieslewicz</t>
  </si>
  <si>
    <t>Zoe</t>
  </si>
  <si>
    <t>Mahn</t>
  </si>
  <si>
    <t xml:space="preserve">Alma </t>
  </si>
  <si>
    <t>Pitre</t>
  </si>
  <si>
    <t>Flemington</t>
  </si>
  <si>
    <t>Jasmine</t>
  </si>
  <si>
    <t>Lowe</t>
  </si>
  <si>
    <t>Jennah</t>
  </si>
  <si>
    <t>Josee</t>
  </si>
  <si>
    <t>Huebel</t>
  </si>
  <si>
    <t>Amanda</t>
  </si>
  <si>
    <t>Duplan</t>
  </si>
  <si>
    <t>Munson</t>
  </si>
  <si>
    <t>Sellers</t>
  </si>
  <si>
    <t>Kayleigh</t>
  </si>
  <si>
    <t>Duff</t>
  </si>
  <si>
    <t>Makayla</t>
  </si>
  <si>
    <t>Ericksen</t>
  </si>
  <si>
    <t>Wucherpfennig</t>
  </si>
  <si>
    <t>Rebecca</t>
  </si>
  <si>
    <t>Broerman</t>
  </si>
  <si>
    <t>Rileigh</t>
  </si>
  <si>
    <t>Fagen</t>
  </si>
  <si>
    <t>Alyssia</t>
  </si>
  <si>
    <t>Easley</t>
  </si>
  <si>
    <t>Bethany</t>
  </si>
  <si>
    <t>Metcalf</t>
  </si>
  <si>
    <t>Kristian</t>
  </si>
  <si>
    <t>Connolly</t>
  </si>
  <si>
    <t>Makenzie</t>
  </si>
  <si>
    <t>Bowman</t>
  </si>
  <si>
    <t>Marci</t>
  </si>
  <si>
    <t>Boggan</t>
  </si>
  <si>
    <t>Naomi</t>
  </si>
  <si>
    <t>Erin</t>
  </si>
  <si>
    <t>Roach</t>
  </si>
  <si>
    <t>Karissa</t>
  </si>
  <si>
    <t>Kelsee</t>
  </si>
  <si>
    <t>LaTasha</t>
  </si>
  <si>
    <t>Tricia</t>
  </si>
  <si>
    <t>Naeger</t>
  </si>
  <si>
    <t>Alison</t>
  </si>
  <si>
    <t>Warwick</t>
  </si>
  <si>
    <t>Erdmann</t>
  </si>
  <si>
    <t>Christina</t>
  </si>
  <si>
    <t>Kimmer</t>
  </si>
  <si>
    <t>Madison</t>
  </si>
  <si>
    <t>Kasza</t>
  </si>
  <si>
    <t>Marlon</t>
  </si>
  <si>
    <t>VanHam</t>
  </si>
  <si>
    <t>Fung-Calleja</t>
  </si>
  <si>
    <t>Shannon</t>
  </si>
  <si>
    <t>Grimm</t>
  </si>
  <si>
    <t>Tionna</t>
  </si>
  <si>
    <t>Hough</t>
  </si>
  <si>
    <t>Dick</t>
  </si>
  <si>
    <t>Estep</t>
  </si>
  <si>
    <t>Ferrara</t>
  </si>
  <si>
    <t>Janet</t>
  </si>
  <si>
    <t>Freed</t>
  </si>
  <si>
    <t>Sturm</t>
  </si>
  <si>
    <t>Rickard</t>
  </si>
  <si>
    <t>Gabriele</t>
  </si>
  <si>
    <t>Bellarmine</t>
  </si>
  <si>
    <t>Noble</t>
  </si>
  <si>
    <t>Grace</t>
  </si>
  <si>
    <t>Metts</t>
  </si>
  <si>
    <t>Jillian</t>
  </si>
  <si>
    <t>Shufelt</t>
  </si>
  <si>
    <t>Wilcox</t>
  </si>
  <si>
    <t>Szczepanski</t>
  </si>
  <si>
    <t xml:space="preserve">Alex </t>
  </si>
  <si>
    <t>Sullivan</t>
  </si>
  <si>
    <t>Kouba</t>
  </si>
  <si>
    <t>Butschke</t>
  </si>
  <si>
    <t>Kailee</t>
  </si>
  <si>
    <t>Tubbs</t>
  </si>
  <si>
    <t>Sonsalla</t>
  </si>
  <si>
    <t>Montana</t>
  </si>
  <si>
    <t>Baumann</t>
  </si>
  <si>
    <t>St Francis - Joliet</t>
  </si>
  <si>
    <t>Abagail</t>
  </si>
  <si>
    <t>Ragsdale</t>
  </si>
  <si>
    <t>Lakota</t>
  </si>
  <si>
    <t>Autumn</t>
  </si>
  <si>
    <t>Fowler</t>
  </si>
  <si>
    <t>Douglas</t>
  </si>
  <si>
    <t>Troha</t>
  </si>
  <si>
    <t>Michalowicz</t>
  </si>
  <si>
    <t>Spalding</t>
  </si>
  <si>
    <t>Rhodes</t>
  </si>
  <si>
    <t>Cissell</t>
  </si>
  <si>
    <t>Dalls</t>
  </si>
  <si>
    <t>Newsom</t>
  </si>
  <si>
    <t>Aly</t>
  </si>
  <si>
    <t>Irvine</t>
  </si>
  <si>
    <t>Farrand</t>
  </si>
  <si>
    <t>Schneider</t>
  </si>
  <si>
    <t>Heather</t>
  </si>
  <si>
    <t>Bruci</t>
  </si>
  <si>
    <t>Karri</t>
  </si>
  <si>
    <t>Keri</t>
  </si>
  <si>
    <t>Molloy</t>
  </si>
  <si>
    <t>Polsinelli</t>
  </si>
  <si>
    <t>Hatton</t>
  </si>
  <si>
    <t>Manetz</t>
  </si>
  <si>
    <t>Candace</t>
  </si>
  <si>
    <t>Crystal</t>
  </si>
  <si>
    <t>Katlyn</t>
  </si>
  <si>
    <t>Hoeh</t>
  </si>
  <si>
    <t>Keysha</t>
  </si>
  <si>
    <t>Kylah</t>
  </si>
  <si>
    <t>Cote</t>
  </si>
  <si>
    <t>Ursuline</t>
  </si>
  <si>
    <t>Hepler</t>
  </si>
  <si>
    <t>Hawley</t>
  </si>
  <si>
    <t>Maurer</t>
  </si>
  <si>
    <t>Lexie</t>
  </si>
  <si>
    <t>Shirley</t>
  </si>
  <si>
    <t>Famadico</t>
  </si>
  <si>
    <t>Miner</t>
  </si>
  <si>
    <t>Emmillie</t>
  </si>
  <si>
    <t>Montgomery</t>
  </si>
  <si>
    <t>Fairbrother</t>
  </si>
  <si>
    <t>Hamilton</t>
  </si>
  <si>
    <t>Stonehouse</t>
  </si>
  <si>
    <t>JaCinda</t>
  </si>
  <si>
    <t>Warner</t>
  </si>
  <si>
    <t>Jerrica</t>
  </si>
  <si>
    <t>Grayson</t>
  </si>
  <si>
    <t>Kristina</t>
  </si>
  <si>
    <t>Waller</t>
  </si>
  <si>
    <t>Himebaugh</t>
  </si>
  <si>
    <t>Robert Morris - Orland Park</t>
  </si>
  <si>
    <t>Barges</t>
  </si>
  <si>
    <t>Kyles</t>
  </si>
  <si>
    <t>Ditmars</t>
  </si>
  <si>
    <t>McCubbin</t>
  </si>
  <si>
    <t>Katelyn</t>
  </si>
  <si>
    <t>Radovich</t>
  </si>
  <si>
    <t>Kurowski</t>
  </si>
  <si>
    <t>Kimberly</t>
  </si>
  <si>
    <t>Debra</t>
  </si>
  <si>
    <t>Harmon</t>
  </si>
  <si>
    <t>Villasenor</t>
  </si>
  <si>
    <t>Stockreef</t>
  </si>
  <si>
    <t>Sieffert</t>
  </si>
  <si>
    <t>Hodges</t>
  </si>
  <si>
    <t>Knittle</t>
  </si>
  <si>
    <t>Hellen</t>
  </si>
  <si>
    <t>Frisch</t>
  </si>
  <si>
    <t>Herrera</t>
  </si>
  <si>
    <t>Ladigo</t>
  </si>
  <si>
    <t>Regina</t>
  </si>
  <si>
    <t>Laglia</t>
  </si>
  <si>
    <t>Henson</t>
  </si>
  <si>
    <t>Patterson</t>
  </si>
  <si>
    <t>Callie</t>
  </si>
  <si>
    <t>Baggett</t>
  </si>
  <si>
    <t>McClain</t>
  </si>
  <si>
    <t>Delacruz</t>
  </si>
  <si>
    <t>Herron</t>
  </si>
  <si>
    <t>Kacee</t>
  </si>
  <si>
    <t>Costello</t>
  </si>
  <si>
    <t>Cabildo</t>
  </si>
  <si>
    <t>Tanishia</t>
  </si>
  <si>
    <t>Tiffany</t>
  </si>
  <si>
    <t>Paraventi</t>
  </si>
  <si>
    <t>Tryna</t>
  </si>
  <si>
    <t>Gladstone</t>
  </si>
  <si>
    <t>Goldsberry</t>
  </si>
  <si>
    <t>Aften</t>
  </si>
  <si>
    <t>Minnich</t>
  </si>
  <si>
    <t>Henriksen</t>
  </si>
  <si>
    <t>Cass</t>
  </si>
  <si>
    <t>Rose</t>
  </si>
  <si>
    <t>Hemann</t>
  </si>
  <si>
    <t>Kathleen</t>
  </si>
  <si>
    <t>Ferrin</t>
  </si>
  <si>
    <t>Vreeland</t>
  </si>
  <si>
    <t>Jacobson</t>
  </si>
  <si>
    <t>Bernadette</t>
  </si>
  <si>
    <t>Diane</t>
  </si>
  <si>
    <t>Hasty</t>
  </si>
  <si>
    <t>Kat</t>
  </si>
  <si>
    <t>Rush</t>
  </si>
  <si>
    <t>Browder</t>
  </si>
  <si>
    <t>Culver - Stockton</t>
  </si>
  <si>
    <t>Deena</t>
  </si>
  <si>
    <t>Baber</t>
  </si>
  <si>
    <t>Blackden</t>
  </si>
  <si>
    <t>Julianna</t>
  </si>
  <si>
    <t>Hollman</t>
  </si>
  <si>
    <t>Zlotopolski</t>
  </si>
  <si>
    <t>Maddie</t>
  </si>
  <si>
    <t>Carlie</t>
  </si>
  <si>
    <t>Sawyer</t>
  </si>
  <si>
    <t>Darlene</t>
  </si>
  <si>
    <t>Artrip</t>
  </si>
  <si>
    <t>Kay</t>
  </si>
  <si>
    <t>Rothermund</t>
  </si>
  <si>
    <t>Wheeler</t>
  </si>
  <si>
    <t>Taylar</t>
  </si>
  <si>
    <t>Hayden</t>
  </si>
  <si>
    <t>Tayler</t>
  </si>
  <si>
    <t>Denney</t>
  </si>
  <si>
    <t>Breedlove</t>
  </si>
  <si>
    <t>Hayley</t>
  </si>
  <si>
    <t>Maher</t>
  </si>
  <si>
    <t>Crawford</t>
  </si>
  <si>
    <t>Michaela</t>
  </si>
  <si>
    <t>Dawson</t>
  </si>
  <si>
    <t>Dalberg</t>
  </si>
  <si>
    <t>Keeney</t>
  </si>
  <si>
    <t>Russo-Perry</t>
  </si>
  <si>
    <t>Cassie</t>
  </si>
  <si>
    <t>Sedgwick</t>
  </si>
  <si>
    <t>Lydia</t>
  </si>
  <si>
    <t>Glamann</t>
  </si>
  <si>
    <t>Nadine</t>
  </si>
  <si>
    <t>Blecke</t>
  </si>
  <si>
    <t>Gerwin</t>
  </si>
  <si>
    <t>Slane</t>
  </si>
  <si>
    <t>Caldwell</t>
  </si>
  <si>
    <t>Nina</t>
  </si>
  <si>
    <t>Celesti</t>
  </si>
  <si>
    <t>Joslin</t>
  </si>
  <si>
    <t>Ashlyn</t>
  </si>
  <si>
    <t>Herzberg</t>
  </si>
  <si>
    <t>Woodard</t>
  </si>
  <si>
    <t>Estefania</t>
  </si>
  <si>
    <t>Cobo</t>
  </si>
  <si>
    <t>Hollyann</t>
  </si>
  <si>
    <t>Johansen</t>
  </si>
  <si>
    <t>Ovesny</t>
  </si>
  <si>
    <t>Kristie</t>
  </si>
  <si>
    <t>Lopez</t>
  </si>
  <si>
    <t>Laura</t>
  </si>
  <si>
    <t>Plazas</t>
  </si>
  <si>
    <t>Brummett</t>
  </si>
  <si>
    <t>Aspen</t>
  </si>
  <si>
    <t>Carley</t>
  </si>
  <si>
    <t>Machacek</t>
  </si>
  <si>
    <t>Hejny</t>
  </si>
  <si>
    <t>Garavet</t>
  </si>
  <si>
    <t>Woolridge</t>
  </si>
  <si>
    <t>Michelfelder</t>
  </si>
  <si>
    <t>Janja</t>
  </si>
  <si>
    <t>Kovacic</t>
  </si>
  <si>
    <t>Malley</t>
  </si>
  <si>
    <t>Shaianne</t>
  </si>
  <si>
    <t>Yockman</t>
  </si>
  <si>
    <t>Shelly</t>
  </si>
  <si>
    <t>Goodwin</t>
  </si>
  <si>
    <t>Angel</t>
  </si>
  <si>
    <t>West</t>
  </si>
  <si>
    <t>Christine</t>
  </si>
  <si>
    <t>Felicia</t>
  </si>
  <si>
    <t>Montecinos</t>
  </si>
  <si>
    <t>Coldiron</t>
  </si>
  <si>
    <t>Karlee</t>
  </si>
  <si>
    <t>Hedgespeth</t>
  </si>
  <si>
    <t>Cummings</t>
  </si>
  <si>
    <t>Lantvit</t>
  </si>
  <si>
    <t>Alicia</t>
  </si>
  <si>
    <t>Hartley</t>
  </si>
  <si>
    <t>Payton</t>
  </si>
  <si>
    <t>Allen</t>
  </si>
  <si>
    <t>Marisa</t>
  </si>
  <si>
    <t>Moon</t>
  </si>
  <si>
    <t>Petersen</t>
  </si>
  <si>
    <t>Rylee</t>
  </si>
  <si>
    <t>Blood</t>
  </si>
  <si>
    <t>Gerou</t>
  </si>
  <si>
    <t>Tara</t>
  </si>
  <si>
    <t>Trcka</t>
  </si>
  <si>
    <t>Alexa</t>
  </si>
  <si>
    <t>Ingram</t>
  </si>
  <si>
    <t>Haily</t>
  </si>
  <si>
    <t>Park</t>
  </si>
  <si>
    <t>Jackie</t>
  </si>
  <si>
    <t>Tabor</t>
  </si>
  <si>
    <t>Drouillard</t>
  </si>
  <si>
    <t>Jewell</t>
  </si>
  <si>
    <t>Briana</t>
  </si>
  <si>
    <t>Marquis</t>
  </si>
  <si>
    <t>Beirne</t>
  </si>
  <si>
    <t>Jaimee</t>
  </si>
  <si>
    <t>Jaskie</t>
  </si>
  <si>
    <t>Quinisha</t>
  </si>
  <si>
    <t>Burnett</t>
  </si>
  <si>
    <t>Tehya</t>
  </si>
  <si>
    <t>Aurora</t>
  </si>
  <si>
    <t>Tamraz</t>
  </si>
  <si>
    <t>Davellis</t>
  </si>
  <si>
    <t>Mackie</t>
  </si>
  <si>
    <t>Meghan</t>
  </si>
  <si>
    <t>Tolobaski</t>
  </si>
  <si>
    <t>Okubo</t>
  </si>
  <si>
    <t>Bogolin</t>
  </si>
  <si>
    <t>Carla</t>
  </si>
  <si>
    <t>Washington</t>
  </si>
  <si>
    <t>Rudnickas</t>
  </si>
  <si>
    <t>Kramer</t>
  </si>
  <si>
    <t>Hart</t>
  </si>
  <si>
    <t>Norton</t>
  </si>
  <si>
    <t>Porsche</t>
  </si>
  <si>
    <t>Chartrand</t>
  </si>
  <si>
    <t>Indiana State</t>
  </si>
  <si>
    <t>Zent</t>
  </si>
  <si>
    <t>Terena</t>
  </si>
  <si>
    <t>Weitkamp</t>
  </si>
  <si>
    <t>48th Annual Hoosier Classic presented by Columbia 300</t>
  </si>
  <si>
    <t>MEN'S INDIVIDUAL GAME 6</t>
  </si>
  <si>
    <t>POS</t>
  </si>
  <si>
    <t>FIRST NAME</t>
  </si>
  <si>
    <t>LAST NAME</t>
  </si>
  <si>
    <t>SCHOOL</t>
  </si>
  <si>
    <t>GM 1</t>
  </si>
  <si>
    <t>GM 2</t>
  </si>
  <si>
    <t xml:space="preserve"> GM 3</t>
  </si>
  <si>
    <t>GM 4</t>
  </si>
  <si>
    <t>GM 5</t>
  </si>
  <si>
    <t>GM 6</t>
  </si>
  <si>
    <t>Total</t>
  </si>
  <si>
    <t>MEN TEAM</t>
  </si>
  <si>
    <t>POSITION</t>
  </si>
  <si>
    <t>Saturday</t>
  </si>
  <si>
    <t>BLK1</t>
  </si>
  <si>
    <t>BLK2</t>
  </si>
  <si>
    <t>BLK3</t>
  </si>
  <si>
    <t>TOTAL</t>
  </si>
  <si>
    <t>WOMEN'S GAME 6</t>
  </si>
  <si>
    <t>WOMEN'S INDIVIDUAL GAME 6</t>
  </si>
  <si>
    <t>MEN'S TEAM SCORES</t>
  </si>
  <si>
    <t>After 6</t>
  </si>
  <si>
    <t>Baker 1-5</t>
  </si>
  <si>
    <t>Baker 6-10</t>
  </si>
  <si>
    <t>Baker 11-15</t>
  </si>
  <si>
    <t>WOMEN'S TEAM SCORES</t>
  </si>
  <si>
    <t>2017 Hoosier Classic - Men's Bracket</t>
  </si>
  <si>
    <t>LN</t>
  </si>
  <si>
    <t>ELITE 8</t>
  </si>
  <si>
    <t>FINAL 4</t>
  </si>
  <si>
    <t>CHAMPIONSHIP</t>
  </si>
  <si>
    <t>2017 Men's Team Champion</t>
  </si>
  <si>
    <t>2017 Hoosier Classic - Women's Bracket</t>
  </si>
  <si>
    <t>2017 Women's Team Champion</t>
  </si>
  <si>
    <t>Wichita St</t>
  </si>
  <si>
    <t>5 - Newman 135 - 221 - 236</t>
  </si>
  <si>
    <t>4 - St Ambrose 201 - 215 - 177</t>
  </si>
  <si>
    <t>1 - Wichita St 199 - 251</t>
  </si>
  <si>
    <t>8 - Notre Dame OH 158 - 202</t>
  </si>
  <si>
    <t>7 - Emmanuel 169 - 178</t>
  </si>
  <si>
    <t>2 - Lindenwood 213 - 186</t>
  </si>
  <si>
    <t>3 - Webber International 196 - 156 - 178</t>
  </si>
  <si>
    <t>6 - Concordia 170 - 179 - 197</t>
  </si>
  <si>
    <t>3 - William Paterson 193 - 196</t>
  </si>
  <si>
    <t>6 - Vincennes 159 - 160</t>
  </si>
  <si>
    <t>1 - Webber International 230 - 207</t>
  </si>
  <si>
    <t>8 - Pikeville 203 - 157</t>
  </si>
  <si>
    <t>5 - Midland 227 - 238</t>
  </si>
  <si>
    <t>4 - Wisconsin - Whitewater 211 - 193</t>
  </si>
  <si>
    <t>7 - St. Francis - Joliet 176 - 248 - 205</t>
  </si>
  <si>
    <t>2 - Calumet 252 - 187 - 199</t>
  </si>
  <si>
    <t>St. Francis - Joliet 215 - 197</t>
  </si>
  <si>
    <t>William Paterson 194 - 187</t>
  </si>
  <si>
    <t>Midland 177 - 229 - 219 - 207</t>
  </si>
  <si>
    <t>St. Francis - Joliet 194 - 220 - 185 - 169</t>
  </si>
  <si>
    <t>Concordia 188 201</t>
  </si>
  <si>
    <t>Lindenwood 157 159</t>
  </si>
  <si>
    <t>Wichita St - 194 182 180</t>
  </si>
  <si>
    <t>Newman - 175 184 159</t>
  </si>
  <si>
    <t>Wichita St - 225 244 200</t>
  </si>
  <si>
    <t>Concordia - 210 166 199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</si>
</sst>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b/>
      <i/>
      <u/>
      <sz val="18"/>
      <color rgb="FFFF0000"/>
      <name val="Arial"/>
      <family val="2"/>
    </font>
    <font>
      <b/>
      <i/>
      <sz val="12"/>
      <name val="Arial"/>
      <family val="2"/>
    </font>
    <font>
      <i/>
      <sz val="16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6"/>
      <name val="Arial"/>
      <family val="2"/>
    </font>
    <font>
      <b/>
      <u/>
      <sz val="12"/>
      <name val="Arial"/>
      <family val="2"/>
    </font>
    <font>
      <b/>
      <u/>
      <sz val="16"/>
      <name val="Arial"/>
      <family val="2"/>
    </font>
    <font>
      <b/>
      <sz val="12"/>
      <name val="Arial"/>
      <family val="2"/>
    </font>
    <font>
      <b/>
      <i/>
      <sz val="16"/>
      <name val="Arial"/>
      <family val="2"/>
    </font>
    <font>
      <sz val="10"/>
      <color rgb="FF00000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20"/>
      <name val="Arial Rounded MT Bold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8.19999999999999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</cellStyleXfs>
  <cellXfs count="85">
    <xf numFmtId="0" fontId="0" fillId="0" borderId="0" xfId="0"/>
    <xf numFmtId="0" fontId="3" fillId="0" borderId="0" xfId="0" applyFont="1" applyAlignment="1">
      <alignment horizontal="center" vertical="center"/>
    </xf>
    <xf numFmtId="0" fontId="0" fillId="3" borderId="2" xfId="2" applyFont="1" applyAlignment="1">
      <alignment horizontal="center" vertical="center"/>
    </xf>
    <xf numFmtId="0" fontId="3" fillId="3" borderId="2" xfId="2" applyFont="1" applyAlignment="1">
      <alignment horizontal="center" vertical="center"/>
    </xf>
    <xf numFmtId="0" fontId="1" fillId="3" borderId="2" xfId="2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2" borderId="1" xfId="1" applyAlignment="1">
      <alignment horizontal="center" vertical="center"/>
    </xf>
    <xf numFmtId="0" fontId="4" fillId="2" borderId="1" xfId="1" applyFont="1" applyAlignment="1">
      <alignment horizontal="center" vertical="center"/>
    </xf>
    <xf numFmtId="0" fontId="2" fillId="2" borderId="1" xfId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 applyFill="1" applyBorder="1"/>
    <xf numFmtId="0" fontId="9" fillId="0" borderId="0" xfId="0" applyFont="1" applyFill="1" applyBorder="1"/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0" fillId="0" borderId="0" xfId="0" applyFont="1" applyBorder="1"/>
    <xf numFmtId="0" fontId="14" fillId="0" borderId="0" xfId="0" applyFont="1" applyAlignment="1">
      <alignment horizontal="center"/>
    </xf>
    <xf numFmtId="0" fontId="14" fillId="0" borderId="4" xfId="0" applyFont="1" applyFill="1" applyBorder="1"/>
    <xf numFmtId="0" fontId="14" fillId="0" borderId="5" xfId="0" applyFont="1" applyFill="1" applyBorder="1"/>
    <xf numFmtId="0" fontId="10" fillId="0" borderId="6" xfId="0" applyFont="1" applyFill="1" applyBorder="1" applyAlignment="1">
      <alignment horizontal="center"/>
    </xf>
    <xf numFmtId="0" fontId="10" fillId="0" borderId="6" xfId="0" applyFont="1" applyFill="1" applyBorder="1"/>
    <xf numFmtId="0" fontId="10" fillId="0" borderId="7" xfId="0" applyFont="1" applyFill="1" applyBorder="1" applyAlignment="1">
      <alignment horizontal="center"/>
    </xf>
    <xf numFmtId="0" fontId="14" fillId="0" borderId="8" xfId="0" applyFont="1" applyFill="1" applyBorder="1"/>
    <xf numFmtId="0" fontId="14" fillId="0" borderId="9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0" xfId="0" applyFont="1" applyFill="1" applyBorder="1"/>
    <xf numFmtId="0" fontId="14" fillId="0" borderId="11" xfId="0" applyFont="1" applyFill="1" applyBorder="1"/>
    <xf numFmtId="0" fontId="14" fillId="0" borderId="12" xfId="0" applyFont="1" applyFill="1" applyBorder="1"/>
    <xf numFmtId="0" fontId="10" fillId="0" borderId="13" xfId="0" applyFont="1" applyFill="1" applyBorder="1" applyAlignment="1">
      <alignment horizontal="center"/>
    </xf>
    <xf numFmtId="0" fontId="10" fillId="0" borderId="13" xfId="0" applyFont="1" applyFill="1" applyBorder="1"/>
    <xf numFmtId="0" fontId="14" fillId="0" borderId="11" xfId="0" applyFont="1" applyFill="1" applyBorder="1" applyProtection="1">
      <protection locked="0"/>
    </xf>
    <xf numFmtId="0" fontId="14" fillId="0" borderId="12" xfId="0" applyFont="1" applyFill="1" applyBorder="1" applyProtection="1">
      <protection locked="0"/>
    </xf>
    <xf numFmtId="0" fontId="11" fillId="0" borderId="0" xfId="0" applyFont="1" applyBorder="1"/>
    <xf numFmtId="0" fontId="0" fillId="0" borderId="0" xfId="0" applyFill="1" applyBorder="1"/>
    <xf numFmtId="0" fontId="14" fillId="0" borderId="14" xfId="0" applyFont="1" applyFill="1" applyBorder="1" applyProtection="1">
      <protection locked="0"/>
    </xf>
    <xf numFmtId="0" fontId="14" fillId="0" borderId="15" xfId="0" applyFont="1" applyFill="1" applyBorder="1" applyProtection="1">
      <protection locked="0"/>
    </xf>
    <xf numFmtId="0" fontId="10" fillId="0" borderId="13" xfId="0" applyFont="1" applyFill="1" applyBorder="1" applyAlignment="1" applyProtection="1">
      <alignment horizontal="center"/>
      <protection locked="0"/>
    </xf>
    <xf numFmtId="0" fontId="14" fillId="0" borderId="16" xfId="0" applyFont="1" applyBorder="1" applyAlignment="1">
      <alignment horizontal="center"/>
    </xf>
    <xf numFmtId="0" fontId="5" fillId="0" borderId="0" xfId="0" applyFont="1" applyAlignment="1"/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horizontal="left" vertical="center"/>
    </xf>
    <xf numFmtId="0" fontId="18" fillId="0" borderId="13" xfId="0" applyFont="1" applyFill="1" applyBorder="1" applyAlignment="1" applyProtection="1">
      <alignment horizontal="center" vertical="center"/>
      <protection locked="0"/>
    </xf>
    <xf numFmtId="0" fontId="18" fillId="0" borderId="1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4" fillId="0" borderId="17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21" fillId="0" borderId="0" xfId="0" applyFont="1"/>
    <xf numFmtId="0" fontId="20" fillId="0" borderId="0" xfId="0" applyFont="1"/>
    <xf numFmtId="0" fontId="23" fillId="0" borderId="0" xfId="0" applyFont="1" applyBorder="1" applyAlignment="1">
      <alignment horizontal="left"/>
    </xf>
    <xf numFmtId="0" fontId="23" fillId="0" borderId="0" xfId="0" applyFont="1" applyBorder="1"/>
    <xf numFmtId="0" fontId="0" fillId="0" borderId="0" xfId="0" applyBorder="1"/>
    <xf numFmtId="0" fontId="23" fillId="0" borderId="0" xfId="0" applyFont="1" applyAlignment="1">
      <alignment horizontal="left"/>
    </xf>
    <xf numFmtId="0" fontId="14" fillId="0" borderId="0" xfId="0" applyFont="1" applyBorder="1"/>
    <xf numFmtId="0" fontId="24" fillId="0" borderId="0" xfId="0" applyFont="1"/>
    <xf numFmtId="0" fontId="20" fillId="0" borderId="0" xfId="0" applyFont="1" applyBorder="1"/>
    <xf numFmtId="0" fontId="23" fillId="0" borderId="0" xfId="0" applyFont="1" applyFill="1" applyBorder="1"/>
    <xf numFmtId="0" fontId="6" fillId="0" borderId="0" xfId="0" applyFont="1" applyAlignment="1">
      <alignment horizontal="left"/>
    </xf>
    <xf numFmtId="0" fontId="14" fillId="0" borderId="18" xfId="0" applyFont="1" applyBorder="1" applyAlignment="1">
      <alignment horizontal="left"/>
    </xf>
    <xf numFmtId="0" fontId="25" fillId="0" borderId="19" xfId="0" applyFont="1" applyBorder="1"/>
    <xf numFmtId="0" fontId="0" fillId="0" borderId="20" xfId="0" applyBorder="1"/>
    <xf numFmtId="0" fontId="21" fillId="0" borderId="0" xfId="0" applyFont="1" applyBorder="1"/>
    <xf numFmtId="0" fontId="0" fillId="0" borderId="0" xfId="0" applyFill="1"/>
    <xf numFmtId="0" fontId="23" fillId="0" borderId="0" xfId="0" applyFont="1"/>
    <xf numFmtId="0" fontId="14" fillId="0" borderId="0" xfId="0" applyFont="1" applyAlignment="1">
      <alignment horizontal="left"/>
    </xf>
    <xf numFmtId="0" fontId="26" fillId="0" borderId="0" xfId="0" applyFont="1"/>
    <xf numFmtId="0" fontId="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</cellXfs>
  <cellStyles count="3">
    <cellStyle name="Input" xfId="1" builtinId="20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http://www.royalpin.com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hyperlink" Target="http://www.royalpin.com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jpeg"/><Relationship Id="rId6" Type="http://schemas.openxmlformats.org/officeDocument/2006/relationships/hyperlink" Target="http://www.royalpin.com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hyperlink" Target="http://www.royalpin.com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13.jpeg"/><Relationship Id="rId1" Type="http://schemas.openxmlformats.org/officeDocument/2006/relationships/image" Target="../media/image1.jpeg"/><Relationship Id="rId6" Type="http://schemas.openxmlformats.org/officeDocument/2006/relationships/hyperlink" Target="http://www.royalpin.com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13.jpeg"/><Relationship Id="rId1" Type="http://schemas.openxmlformats.org/officeDocument/2006/relationships/image" Target="../media/image1.jpeg"/><Relationship Id="rId6" Type="http://schemas.openxmlformats.org/officeDocument/2006/relationships/hyperlink" Target="http://www.royalpin.com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15</xdr:row>
      <xdr:rowOff>95250</xdr:rowOff>
    </xdr:from>
    <xdr:to>
      <xdr:col>10</xdr:col>
      <xdr:colOff>257175</xdr:colOff>
      <xdr:row>19</xdr:row>
      <xdr:rowOff>76200</xdr:rowOff>
    </xdr:to>
    <xdr:pic>
      <xdr:nvPicPr>
        <xdr:cNvPr id="2" name="Picture 10" descr="Columbia300-Color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3305175"/>
          <a:ext cx="1504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32</xdr:row>
      <xdr:rowOff>85725</xdr:rowOff>
    </xdr:from>
    <xdr:to>
      <xdr:col>10</xdr:col>
      <xdr:colOff>371475</xdr:colOff>
      <xdr:row>38</xdr:row>
      <xdr:rowOff>38100</xdr:rowOff>
    </xdr:to>
    <xdr:pic>
      <xdr:nvPicPr>
        <xdr:cNvPr id="3" name="Picture 9" descr="H2M Logo 082913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858000"/>
          <a:ext cx="1485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44</xdr:row>
      <xdr:rowOff>104775</xdr:rowOff>
    </xdr:from>
    <xdr:to>
      <xdr:col>10</xdr:col>
      <xdr:colOff>457200</xdr:colOff>
      <xdr:row>50</xdr:row>
      <xdr:rowOff>38100</xdr:rowOff>
    </xdr:to>
    <xdr:pic>
      <xdr:nvPicPr>
        <xdr:cNvPr id="4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9391650"/>
          <a:ext cx="1581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457200</xdr:colOff>
      <xdr:row>4</xdr:row>
      <xdr:rowOff>9525</xdr:rowOff>
    </xdr:from>
    <xdr:to>
      <xdr:col>10</xdr:col>
      <xdr:colOff>295275</xdr:colOff>
      <xdr:row>12</xdr:row>
      <xdr:rowOff>104775</xdr:rowOff>
    </xdr:to>
    <xdr:pic>
      <xdr:nvPicPr>
        <xdr:cNvPr id="5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971550"/>
          <a:ext cx="16668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22</xdr:row>
      <xdr:rowOff>66675</xdr:rowOff>
    </xdr:from>
    <xdr:to>
      <xdr:col>10</xdr:col>
      <xdr:colOff>161925</xdr:colOff>
      <xdr:row>29</xdr:row>
      <xdr:rowOff>66675</xdr:rowOff>
    </xdr:to>
    <xdr:pic>
      <xdr:nvPicPr>
        <xdr:cNvPr id="6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4743450"/>
          <a:ext cx="120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72</xdr:row>
      <xdr:rowOff>19050</xdr:rowOff>
    </xdr:from>
    <xdr:to>
      <xdr:col>11</xdr:col>
      <xdr:colOff>276225</xdr:colOff>
      <xdr:row>83</xdr:row>
      <xdr:rowOff>0</xdr:rowOff>
    </xdr:to>
    <xdr:pic>
      <xdr:nvPicPr>
        <xdr:cNvPr id="7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15173325"/>
          <a:ext cx="20669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52</xdr:row>
      <xdr:rowOff>9525</xdr:rowOff>
    </xdr:from>
    <xdr:to>
      <xdr:col>10</xdr:col>
      <xdr:colOff>485775</xdr:colOff>
      <xdr:row>55</xdr:row>
      <xdr:rowOff>114300</xdr:rowOff>
    </xdr:to>
    <xdr:pic>
      <xdr:nvPicPr>
        <xdr:cNvPr id="8" name="image_4084538475" descr="http://www.h2mmanagement.com/s/cc_images/cache_4084538475.png?t=1376955320">
          <a:hlinkClick xmlns:r="http://schemas.openxmlformats.org/officeDocument/2006/relationships" r:id="rId6" tgtFrame="&quot;_blank&quot;" tooltip="&quot;Western Bowl + Royal Pin Leisure Centers (Indianapolis, IN) Official Tournament Host Center&quot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0972800"/>
          <a:ext cx="1466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60</xdr:row>
      <xdr:rowOff>19050</xdr:rowOff>
    </xdr:from>
    <xdr:to>
      <xdr:col>10</xdr:col>
      <xdr:colOff>581025</xdr:colOff>
      <xdr:row>61</xdr:row>
      <xdr:rowOff>47625</xdr:rowOff>
    </xdr:to>
    <xdr:pic>
      <xdr:nvPicPr>
        <xdr:cNvPr id="9" name="Picture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12658725"/>
          <a:ext cx="1676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65</xdr:row>
      <xdr:rowOff>9525</xdr:rowOff>
    </xdr:from>
    <xdr:to>
      <xdr:col>10</xdr:col>
      <xdr:colOff>400050</xdr:colOff>
      <xdr:row>67</xdr:row>
      <xdr:rowOff>142875</xdr:rowOff>
    </xdr:to>
    <xdr:pic>
      <xdr:nvPicPr>
        <xdr:cNvPr id="10" name="Picture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13696950"/>
          <a:ext cx="1276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10</xdr:row>
      <xdr:rowOff>190500</xdr:rowOff>
    </xdr:from>
    <xdr:to>
      <xdr:col>14</xdr:col>
      <xdr:colOff>57150</xdr:colOff>
      <xdr:row>15</xdr:row>
      <xdr:rowOff>28575</xdr:rowOff>
    </xdr:to>
    <xdr:pic>
      <xdr:nvPicPr>
        <xdr:cNvPr id="2" name="Picture 10" descr="Columbia300-Color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2638425"/>
          <a:ext cx="1600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23</xdr:row>
      <xdr:rowOff>114300</xdr:rowOff>
    </xdr:from>
    <xdr:to>
      <xdr:col>14</xdr:col>
      <xdr:colOff>66675</xdr:colOff>
      <xdr:row>29</xdr:row>
      <xdr:rowOff>152400</xdr:rowOff>
    </xdr:to>
    <xdr:pic>
      <xdr:nvPicPr>
        <xdr:cNvPr id="3" name="Picture 9" descr="H2M Logo 082913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5629275"/>
          <a:ext cx="1600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38</xdr:row>
      <xdr:rowOff>209550</xdr:rowOff>
    </xdr:from>
    <xdr:to>
      <xdr:col>14</xdr:col>
      <xdr:colOff>161925</xdr:colOff>
      <xdr:row>43</xdr:row>
      <xdr:rowOff>104775</xdr:rowOff>
    </xdr:to>
    <xdr:pic>
      <xdr:nvPicPr>
        <xdr:cNvPr id="4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8867775"/>
          <a:ext cx="1276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4</xdr:row>
      <xdr:rowOff>95250</xdr:rowOff>
    </xdr:from>
    <xdr:to>
      <xdr:col>14</xdr:col>
      <xdr:colOff>19050</xdr:colOff>
      <xdr:row>10</xdr:row>
      <xdr:rowOff>152400</xdr:rowOff>
    </xdr:to>
    <xdr:pic>
      <xdr:nvPicPr>
        <xdr:cNvPr id="5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1057275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371475</xdr:colOff>
      <xdr:row>15</xdr:row>
      <xdr:rowOff>0</xdr:rowOff>
    </xdr:from>
    <xdr:to>
      <xdr:col>13</xdr:col>
      <xdr:colOff>514350</xdr:colOff>
      <xdr:row>22</xdr:row>
      <xdr:rowOff>180975</xdr:rowOff>
    </xdr:to>
    <xdr:pic>
      <xdr:nvPicPr>
        <xdr:cNvPr id="6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781425"/>
          <a:ext cx="13620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33</xdr:row>
      <xdr:rowOff>133350</xdr:rowOff>
    </xdr:from>
    <xdr:to>
      <xdr:col>14</xdr:col>
      <xdr:colOff>209550</xdr:colOff>
      <xdr:row>38</xdr:row>
      <xdr:rowOff>38100</xdr:rowOff>
    </xdr:to>
    <xdr:pic>
      <xdr:nvPicPr>
        <xdr:cNvPr id="7" name="image_4084538475" descr="http://www.h2mmanagement.com/s/cc_images/cache_4084538475.png?t=1376955320">
          <a:hlinkClick xmlns:r="http://schemas.openxmlformats.org/officeDocument/2006/relationships" r:id="rId6" tgtFrame="&quot;_blank&quot;" tooltip="&quot;Western Bowl + Royal Pin Leisure Centers (Indianapolis, IN) Official Tournament Host Center&quot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7743825"/>
          <a:ext cx="18573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30</xdr:row>
      <xdr:rowOff>57150</xdr:rowOff>
    </xdr:from>
    <xdr:to>
      <xdr:col>13</xdr:col>
      <xdr:colOff>495300</xdr:colOff>
      <xdr:row>33</xdr:row>
      <xdr:rowOff>57150</xdr:rowOff>
    </xdr:to>
    <xdr:pic>
      <xdr:nvPicPr>
        <xdr:cNvPr id="8" name="Picture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7038975"/>
          <a:ext cx="1438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16</xdr:row>
      <xdr:rowOff>47625</xdr:rowOff>
    </xdr:from>
    <xdr:to>
      <xdr:col>7</xdr:col>
      <xdr:colOff>247650</xdr:colOff>
      <xdr:row>22</xdr:row>
      <xdr:rowOff>38100</xdr:rowOff>
    </xdr:to>
    <xdr:pic>
      <xdr:nvPicPr>
        <xdr:cNvPr id="2" name="Picture 10" descr="Columbia300-Color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095750"/>
          <a:ext cx="23050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35</xdr:row>
      <xdr:rowOff>85725</xdr:rowOff>
    </xdr:from>
    <xdr:to>
      <xdr:col>7</xdr:col>
      <xdr:colOff>257175</xdr:colOff>
      <xdr:row>44</xdr:row>
      <xdr:rowOff>47625</xdr:rowOff>
    </xdr:to>
    <xdr:pic>
      <xdr:nvPicPr>
        <xdr:cNvPr id="3" name="Picture 9" descr="H2M Logo 082913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8115300"/>
          <a:ext cx="22764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47</xdr:row>
      <xdr:rowOff>152400</xdr:rowOff>
    </xdr:from>
    <xdr:to>
      <xdr:col>7</xdr:col>
      <xdr:colOff>295275</xdr:colOff>
      <xdr:row>56</xdr:row>
      <xdr:rowOff>85725</xdr:rowOff>
    </xdr:to>
    <xdr:pic>
      <xdr:nvPicPr>
        <xdr:cNvPr id="4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0696575"/>
          <a:ext cx="2419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4</xdr:row>
      <xdr:rowOff>114300</xdr:rowOff>
    </xdr:from>
    <xdr:to>
      <xdr:col>7</xdr:col>
      <xdr:colOff>333375</xdr:colOff>
      <xdr:row>17</xdr:row>
      <xdr:rowOff>180975</xdr:rowOff>
    </xdr:to>
    <xdr:pic>
      <xdr:nvPicPr>
        <xdr:cNvPr id="5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076325"/>
          <a:ext cx="25527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23</xdr:row>
      <xdr:rowOff>142875</xdr:rowOff>
    </xdr:from>
    <xdr:to>
      <xdr:col>7</xdr:col>
      <xdr:colOff>9525</xdr:colOff>
      <xdr:row>34</xdr:row>
      <xdr:rowOff>85725</xdr:rowOff>
    </xdr:to>
    <xdr:pic>
      <xdr:nvPicPr>
        <xdr:cNvPr id="6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5657850"/>
          <a:ext cx="18383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72</xdr:row>
      <xdr:rowOff>19050</xdr:rowOff>
    </xdr:from>
    <xdr:to>
      <xdr:col>3</xdr:col>
      <xdr:colOff>209550</xdr:colOff>
      <xdr:row>81</xdr:row>
      <xdr:rowOff>142875</xdr:rowOff>
    </xdr:to>
    <xdr:pic>
      <xdr:nvPicPr>
        <xdr:cNvPr id="7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744825"/>
          <a:ext cx="18383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58</xdr:row>
      <xdr:rowOff>95250</xdr:rowOff>
    </xdr:from>
    <xdr:to>
      <xdr:col>7</xdr:col>
      <xdr:colOff>28575</xdr:colOff>
      <xdr:row>63</xdr:row>
      <xdr:rowOff>180975</xdr:rowOff>
    </xdr:to>
    <xdr:pic>
      <xdr:nvPicPr>
        <xdr:cNvPr id="8" name="image_4084538475" descr="http://www.h2mmanagement.com/s/cc_images/cache_4084538475.png?t=1376955320">
          <a:hlinkClick xmlns:r="http://schemas.openxmlformats.org/officeDocument/2006/relationships" r:id="rId6" tgtFrame="&quot;_blank&quot;" tooltip="&quot;Western Bowl + Royal Pin Leisure Centers (Indianapolis, IN) Official Tournament Host Center&quot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2944475"/>
          <a:ext cx="22479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68</xdr:row>
      <xdr:rowOff>0</xdr:rowOff>
    </xdr:from>
    <xdr:to>
      <xdr:col>7</xdr:col>
      <xdr:colOff>419100</xdr:colOff>
      <xdr:row>69</xdr:row>
      <xdr:rowOff>142875</xdr:rowOff>
    </xdr:to>
    <xdr:pic>
      <xdr:nvPicPr>
        <xdr:cNvPr id="9" name="Picture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4944725"/>
          <a:ext cx="25622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2362200</xdr:colOff>
      <xdr:row>75</xdr:row>
      <xdr:rowOff>28575</xdr:rowOff>
    </xdr:from>
    <xdr:to>
      <xdr:col>5</xdr:col>
      <xdr:colOff>133350</xdr:colOff>
      <xdr:row>79</xdr:row>
      <xdr:rowOff>57150</xdr:rowOff>
    </xdr:to>
    <xdr:pic>
      <xdr:nvPicPr>
        <xdr:cNvPr id="10" name="Picture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6240125"/>
          <a:ext cx="1962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10</xdr:row>
      <xdr:rowOff>190500</xdr:rowOff>
    </xdr:from>
    <xdr:to>
      <xdr:col>14</xdr:col>
      <xdr:colOff>57150</xdr:colOff>
      <xdr:row>15</xdr:row>
      <xdr:rowOff>28575</xdr:rowOff>
    </xdr:to>
    <xdr:pic>
      <xdr:nvPicPr>
        <xdr:cNvPr id="2" name="Picture 10" descr="Columbia300-Color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2638425"/>
          <a:ext cx="1600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23</xdr:row>
      <xdr:rowOff>114300</xdr:rowOff>
    </xdr:from>
    <xdr:to>
      <xdr:col>14</xdr:col>
      <xdr:colOff>66675</xdr:colOff>
      <xdr:row>29</xdr:row>
      <xdr:rowOff>152400</xdr:rowOff>
    </xdr:to>
    <xdr:pic>
      <xdr:nvPicPr>
        <xdr:cNvPr id="3" name="Picture 9" descr="H2M Logo 082913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5629275"/>
          <a:ext cx="1600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38</xdr:row>
      <xdr:rowOff>209550</xdr:rowOff>
    </xdr:from>
    <xdr:to>
      <xdr:col>14</xdr:col>
      <xdr:colOff>161925</xdr:colOff>
      <xdr:row>43</xdr:row>
      <xdr:rowOff>104775</xdr:rowOff>
    </xdr:to>
    <xdr:pic>
      <xdr:nvPicPr>
        <xdr:cNvPr id="4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8867775"/>
          <a:ext cx="1276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4</xdr:row>
      <xdr:rowOff>95250</xdr:rowOff>
    </xdr:from>
    <xdr:to>
      <xdr:col>14</xdr:col>
      <xdr:colOff>19050</xdr:colOff>
      <xdr:row>10</xdr:row>
      <xdr:rowOff>152400</xdr:rowOff>
    </xdr:to>
    <xdr:pic>
      <xdr:nvPicPr>
        <xdr:cNvPr id="5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057275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371475</xdr:colOff>
      <xdr:row>15</xdr:row>
      <xdr:rowOff>0</xdr:rowOff>
    </xdr:from>
    <xdr:to>
      <xdr:col>13</xdr:col>
      <xdr:colOff>514350</xdr:colOff>
      <xdr:row>22</xdr:row>
      <xdr:rowOff>180975</xdr:rowOff>
    </xdr:to>
    <xdr:pic>
      <xdr:nvPicPr>
        <xdr:cNvPr id="6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781425"/>
          <a:ext cx="13620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33</xdr:row>
      <xdr:rowOff>133350</xdr:rowOff>
    </xdr:from>
    <xdr:to>
      <xdr:col>14</xdr:col>
      <xdr:colOff>209550</xdr:colOff>
      <xdr:row>38</xdr:row>
      <xdr:rowOff>38100</xdr:rowOff>
    </xdr:to>
    <xdr:pic>
      <xdr:nvPicPr>
        <xdr:cNvPr id="7" name="image_4084538475" descr="http://www.h2mmanagement.com/s/cc_images/cache_4084538475.png?t=1376955320">
          <a:hlinkClick xmlns:r="http://schemas.openxmlformats.org/officeDocument/2006/relationships" r:id="rId6" tgtFrame="&quot;_blank&quot;" tooltip="&quot;Western Bowl + Royal Pin Leisure Centers (Indianapolis, IN) Official Tournament Host Center&quot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7743825"/>
          <a:ext cx="18573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30</xdr:row>
      <xdr:rowOff>57150</xdr:rowOff>
    </xdr:from>
    <xdr:to>
      <xdr:col>13</xdr:col>
      <xdr:colOff>495300</xdr:colOff>
      <xdr:row>33</xdr:row>
      <xdr:rowOff>57150</xdr:rowOff>
    </xdr:to>
    <xdr:pic>
      <xdr:nvPicPr>
        <xdr:cNvPr id="8" name="Picture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7038975"/>
          <a:ext cx="1438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104775</xdr:colOff>
          <xdr:row>4</xdr:row>
          <xdr:rowOff>238125</xdr:rowOff>
        </xdr:from>
        <xdr:to>
          <xdr:col>8</xdr:col>
          <xdr:colOff>104775</xdr:colOff>
          <xdr:row>7</xdr:row>
          <xdr:rowOff>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TOTAL PINFALL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952499</xdr:colOff>
      <xdr:row>0</xdr:row>
      <xdr:rowOff>19051</xdr:rowOff>
    </xdr:from>
    <xdr:to>
      <xdr:col>6</xdr:col>
      <xdr:colOff>828674</xdr:colOff>
      <xdr:row>2</xdr:row>
      <xdr:rowOff>190501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4" y="19051"/>
          <a:ext cx="113347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0</xdr:row>
      <xdr:rowOff>38100</xdr:rowOff>
    </xdr:from>
    <xdr:to>
      <xdr:col>1</xdr:col>
      <xdr:colOff>792079</xdr:colOff>
      <xdr:row>3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8100"/>
          <a:ext cx="925429" cy="86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104775</xdr:colOff>
          <xdr:row>4</xdr:row>
          <xdr:rowOff>238125</xdr:rowOff>
        </xdr:from>
        <xdr:to>
          <xdr:col>8</xdr:col>
          <xdr:colOff>104775</xdr:colOff>
          <xdr:row>7</xdr:row>
          <xdr:rowOff>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TOTAL PINFALL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942974</xdr:colOff>
      <xdr:row>0</xdr:row>
      <xdr:rowOff>19051</xdr:rowOff>
    </xdr:from>
    <xdr:to>
      <xdr:col>6</xdr:col>
      <xdr:colOff>761999</xdr:colOff>
      <xdr:row>2</xdr:row>
      <xdr:rowOff>228601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49" y="19051"/>
          <a:ext cx="1076325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47626</xdr:rowOff>
    </xdr:from>
    <xdr:to>
      <xdr:col>1</xdr:col>
      <xdr:colOff>923925</xdr:colOff>
      <xdr:row>3</xdr:row>
      <xdr:rowOff>203575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47626"/>
          <a:ext cx="1085849" cy="9274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19</xdr:row>
      <xdr:rowOff>34854</xdr:rowOff>
    </xdr:from>
    <xdr:to>
      <xdr:col>1</xdr:col>
      <xdr:colOff>2181225</xdr:colOff>
      <xdr:row>24</xdr:row>
      <xdr:rowOff>85725</xdr:rowOff>
    </xdr:to>
    <xdr:pic>
      <xdr:nvPicPr>
        <xdr:cNvPr id="2" name="Picture 8" descr="Columbia300-Colo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4740204"/>
          <a:ext cx="2133600" cy="105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1200150</xdr:colOff>
      <xdr:row>18</xdr:row>
      <xdr:rowOff>190500</xdr:rowOff>
    </xdr:from>
    <xdr:to>
      <xdr:col>5</xdr:col>
      <xdr:colOff>2671555</xdr:colOff>
      <xdr:row>24</xdr:row>
      <xdr:rowOff>85725</xdr:rowOff>
    </xdr:to>
    <xdr:pic>
      <xdr:nvPicPr>
        <xdr:cNvPr id="3" name="Picture 9" descr="H2M Logo 0829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4648200"/>
          <a:ext cx="147140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361949</xdr:colOff>
      <xdr:row>19</xdr:row>
      <xdr:rowOff>9525</xdr:rowOff>
    </xdr:from>
    <xdr:to>
      <xdr:col>10</xdr:col>
      <xdr:colOff>50693</xdr:colOff>
      <xdr:row>24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199" y="4714875"/>
          <a:ext cx="1508019" cy="10287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342899</xdr:colOff>
      <xdr:row>0</xdr:row>
      <xdr:rowOff>114300</xdr:rowOff>
    </xdr:from>
    <xdr:to>
      <xdr:col>9</xdr:col>
      <xdr:colOff>19049</xdr:colOff>
      <xdr:row>7</xdr:row>
      <xdr:rowOff>171450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49" y="114300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18</xdr:row>
      <xdr:rowOff>47625</xdr:rowOff>
    </xdr:from>
    <xdr:to>
      <xdr:col>4</xdr:col>
      <xdr:colOff>123825</xdr:colOff>
      <xdr:row>25</xdr:row>
      <xdr:rowOff>113695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4505325"/>
          <a:ext cx="1304925" cy="145672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24</xdr:row>
      <xdr:rowOff>200025</xdr:rowOff>
    </xdr:from>
    <xdr:to>
      <xdr:col>5</xdr:col>
      <xdr:colOff>1555115</xdr:colOff>
      <xdr:row>27</xdr:row>
      <xdr:rowOff>155575</xdr:rowOff>
    </xdr:to>
    <xdr:pic>
      <xdr:nvPicPr>
        <xdr:cNvPr id="7" name="image_4084538475" descr="http://www.h2mmanagement.com/s/cc_images/cache_4084538475.png?t=1376955320">
          <a:hlinkClick xmlns:r="http://schemas.openxmlformats.org/officeDocument/2006/relationships" r:id="rId6" tgtFrame="&quot;_blank&quot;" tooltip="&quot;Western Bowl + Royal Pin Leisure Centers (Indianapolis, IN) Official Tournament Host Center&quot;"/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143625"/>
          <a:ext cx="1355090" cy="603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904875</xdr:colOff>
      <xdr:row>24</xdr:row>
      <xdr:rowOff>209550</xdr:rowOff>
    </xdr:from>
    <xdr:to>
      <xdr:col>1</xdr:col>
      <xdr:colOff>2419350</xdr:colOff>
      <xdr:row>27</xdr:row>
      <xdr:rowOff>158115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6153150"/>
          <a:ext cx="1514475" cy="60579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25</xdr:row>
      <xdr:rowOff>114300</xdr:rowOff>
    </xdr:from>
    <xdr:to>
      <xdr:col>9</xdr:col>
      <xdr:colOff>211176</xdr:colOff>
      <xdr:row>26</xdr:row>
      <xdr:rowOff>114758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6305550"/>
          <a:ext cx="1525626" cy="2004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19</xdr:row>
      <xdr:rowOff>34854</xdr:rowOff>
    </xdr:from>
    <xdr:to>
      <xdr:col>1</xdr:col>
      <xdr:colOff>2181225</xdr:colOff>
      <xdr:row>24</xdr:row>
      <xdr:rowOff>85725</xdr:rowOff>
    </xdr:to>
    <xdr:pic>
      <xdr:nvPicPr>
        <xdr:cNvPr id="2" name="Picture 8" descr="Columbia300-Colo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4740204"/>
          <a:ext cx="2133600" cy="105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1200150</xdr:colOff>
      <xdr:row>18</xdr:row>
      <xdr:rowOff>190500</xdr:rowOff>
    </xdr:from>
    <xdr:to>
      <xdr:col>7</xdr:col>
      <xdr:colOff>252205</xdr:colOff>
      <xdr:row>24</xdr:row>
      <xdr:rowOff>85725</xdr:rowOff>
    </xdr:to>
    <xdr:pic>
      <xdr:nvPicPr>
        <xdr:cNvPr id="3" name="Picture 9" descr="H2M Logo 0829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62550" y="4648200"/>
          <a:ext cx="147140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504824</xdr:colOff>
      <xdr:row>19</xdr:row>
      <xdr:rowOff>9525</xdr:rowOff>
    </xdr:from>
    <xdr:to>
      <xdr:col>10</xdr:col>
      <xdr:colOff>193568</xdr:colOff>
      <xdr:row>24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4" y="4714875"/>
          <a:ext cx="1508019" cy="102870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0</xdr:row>
      <xdr:rowOff>142875</xdr:rowOff>
    </xdr:from>
    <xdr:to>
      <xdr:col>8</xdr:col>
      <xdr:colOff>1057275</xdr:colOff>
      <xdr:row>7</xdr:row>
      <xdr:rowOff>171450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4287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18</xdr:row>
      <xdr:rowOff>47625</xdr:rowOff>
    </xdr:from>
    <xdr:to>
      <xdr:col>5</xdr:col>
      <xdr:colOff>152400</xdr:colOff>
      <xdr:row>25</xdr:row>
      <xdr:rowOff>113695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4505325"/>
          <a:ext cx="1304925" cy="145672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24</xdr:row>
      <xdr:rowOff>200025</xdr:rowOff>
    </xdr:from>
    <xdr:to>
      <xdr:col>5</xdr:col>
      <xdr:colOff>1555115</xdr:colOff>
      <xdr:row>27</xdr:row>
      <xdr:rowOff>155575</xdr:rowOff>
    </xdr:to>
    <xdr:pic>
      <xdr:nvPicPr>
        <xdr:cNvPr id="7" name="image_4084538475" descr="http://www.h2mmanagement.com/s/cc_images/cache_4084538475.png?t=1376955320">
          <a:hlinkClick xmlns:r="http://schemas.openxmlformats.org/officeDocument/2006/relationships" r:id="rId6" tgtFrame="&quot;_blank&quot;" tooltip="&quot;Western Bowl + Royal Pin Leisure Centers (Indianapolis, IN) Official Tournament Host Center&quot;"/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6143625"/>
          <a:ext cx="1355090" cy="603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904875</xdr:colOff>
      <xdr:row>24</xdr:row>
      <xdr:rowOff>209550</xdr:rowOff>
    </xdr:from>
    <xdr:to>
      <xdr:col>1</xdr:col>
      <xdr:colOff>2419350</xdr:colOff>
      <xdr:row>27</xdr:row>
      <xdr:rowOff>158115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6153150"/>
          <a:ext cx="1514475" cy="60579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25</xdr:row>
      <xdr:rowOff>114300</xdr:rowOff>
    </xdr:from>
    <xdr:to>
      <xdr:col>9</xdr:col>
      <xdr:colOff>211176</xdr:colOff>
      <xdr:row>26</xdr:row>
      <xdr:rowOff>114758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6305550"/>
          <a:ext cx="1525626" cy="200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5"/>
  <sheetViews>
    <sheetView workbookViewId="0">
      <selection sqref="A1:XFD1048576"/>
    </sheetView>
  </sheetViews>
  <sheetFormatPr defaultColWidth="17" defaultRowHeight="15"/>
  <cols>
    <col min="1" max="1" width="26" style="5" bestFit="1" customWidth="1"/>
    <col min="2" max="2" width="11.42578125" style="5" bestFit="1" customWidth="1"/>
    <col min="3" max="3" width="14.5703125" style="5" bestFit="1" customWidth="1"/>
    <col min="4" max="9" width="7.7109375" style="5" bestFit="1" customWidth="1"/>
    <col min="10" max="10" width="15.7109375" style="1" bestFit="1" customWidth="1"/>
    <col min="11" max="11" width="4.7109375" customWidth="1"/>
    <col min="12" max="12" width="7.5703125" style="5" bestFit="1" customWidth="1"/>
    <col min="13" max="13" width="10.7109375" style="1" bestFit="1" customWidth="1"/>
    <col min="14" max="14" width="5.28515625" customWidth="1"/>
    <col min="15" max="15" width="26" style="5" bestFit="1" customWidth="1"/>
    <col min="16" max="16" width="5" style="1" bestFit="1" customWidth="1"/>
    <col min="17" max="16384" width="17" style="5"/>
  </cols>
  <sheetData>
    <row r="1" spans="1:16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/>
      <c r="L1" s="1" t="s">
        <v>10</v>
      </c>
      <c r="M1" s="1" t="s">
        <v>11</v>
      </c>
      <c r="N1"/>
      <c r="O1" s="76" t="s">
        <v>12</v>
      </c>
      <c r="P1" s="76"/>
    </row>
    <row r="2" spans="1:16">
      <c r="A2" s="2" t="s">
        <v>13</v>
      </c>
      <c r="B2" s="2" t="s">
        <v>14</v>
      </c>
      <c r="C2" s="2" t="s">
        <v>15</v>
      </c>
      <c r="D2" s="2">
        <v>146</v>
      </c>
      <c r="E2" s="2">
        <v>164</v>
      </c>
      <c r="F2" s="2">
        <v>150</v>
      </c>
      <c r="G2" s="2"/>
      <c r="H2" s="2"/>
      <c r="I2" s="2">
        <v>234</v>
      </c>
      <c r="J2" s="3">
        <f>SUM(D2:I2)</f>
        <v>694</v>
      </c>
      <c r="L2" s="2" t="s">
        <v>3</v>
      </c>
      <c r="M2" s="3">
        <f>SUM(D2:D9)</f>
        <v>884</v>
      </c>
      <c r="O2" s="4" t="str">
        <f>A2</f>
        <v>Nevada - Las Vegas</v>
      </c>
      <c r="P2" s="3">
        <f>SUM(M2:M7)</f>
        <v>5466</v>
      </c>
    </row>
    <row r="3" spans="1:16">
      <c r="A3" s="2" t="s">
        <v>13</v>
      </c>
      <c r="B3" s="2" t="s">
        <v>16</v>
      </c>
      <c r="C3" s="2" t="s">
        <v>17</v>
      </c>
      <c r="D3" s="2">
        <v>171</v>
      </c>
      <c r="E3" s="2">
        <v>174</v>
      </c>
      <c r="F3" s="2">
        <v>243</v>
      </c>
      <c r="G3" s="2">
        <v>206</v>
      </c>
      <c r="H3" s="2">
        <v>232</v>
      </c>
      <c r="I3" s="2">
        <v>199</v>
      </c>
      <c r="J3" s="3">
        <f t="shared" ref="J3:J66" si="0">SUM(D3:I3)</f>
        <v>1225</v>
      </c>
      <c r="L3" s="2" t="s">
        <v>4</v>
      </c>
      <c r="M3" s="3">
        <f>SUM(E2:E9)</f>
        <v>828</v>
      </c>
      <c r="O3" s="4"/>
      <c r="P3" s="3"/>
    </row>
    <row r="4" spans="1:16">
      <c r="A4" s="2" t="s">
        <v>13</v>
      </c>
      <c r="B4" s="2" t="s">
        <v>18</v>
      </c>
      <c r="C4" s="2" t="s">
        <v>17</v>
      </c>
      <c r="D4" s="2">
        <v>207</v>
      </c>
      <c r="E4" s="2">
        <v>198</v>
      </c>
      <c r="F4" s="2">
        <v>164</v>
      </c>
      <c r="G4" s="2">
        <v>164</v>
      </c>
      <c r="H4" s="2">
        <v>201</v>
      </c>
      <c r="I4" s="2">
        <v>170</v>
      </c>
      <c r="J4" s="3">
        <f t="shared" si="0"/>
        <v>1104</v>
      </c>
      <c r="L4" s="2" t="s">
        <v>5</v>
      </c>
      <c r="M4" s="3">
        <f>SUM(F2:F9)</f>
        <v>873</v>
      </c>
      <c r="O4" s="4"/>
      <c r="P4" s="3"/>
    </row>
    <row r="5" spans="1:16">
      <c r="A5" s="2" t="s">
        <v>13</v>
      </c>
      <c r="B5" s="2" t="s">
        <v>19</v>
      </c>
      <c r="C5" s="2" t="s">
        <v>20</v>
      </c>
      <c r="D5" s="2">
        <v>179</v>
      </c>
      <c r="E5" s="2">
        <v>162</v>
      </c>
      <c r="F5" s="2">
        <v>151</v>
      </c>
      <c r="G5" s="2">
        <v>137</v>
      </c>
      <c r="H5" s="2">
        <v>183</v>
      </c>
      <c r="I5" s="2">
        <v>226</v>
      </c>
      <c r="J5" s="3">
        <f t="shared" si="0"/>
        <v>1038</v>
      </c>
      <c r="L5" s="2" t="s">
        <v>6</v>
      </c>
      <c r="M5" s="3">
        <f>SUM(G2:G9)</f>
        <v>850</v>
      </c>
      <c r="O5" s="4"/>
      <c r="P5" s="3"/>
    </row>
    <row r="6" spans="1:16">
      <c r="A6" s="2" t="s">
        <v>13</v>
      </c>
      <c r="B6" s="2" t="s">
        <v>21</v>
      </c>
      <c r="C6" s="2" t="s">
        <v>22</v>
      </c>
      <c r="D6" s="2"/>
      <c r="E6" s="2"/>
      <c r="F6" s="2"/>
      <c r="G6" s="2">
        <v>143</v>
      </c>
      <c r="H6" s="2">
        <v>203</v>
      </c>
      <c r="I6" s="2"/>
      <c r="J6" s="3">
        <f t="shared" si="0"/>
        <v>346</v>
      </c>
      <c r="L6" s="2" t="s">
        <v>7</v>
      </c>
      <c r="M6" s="3">
        <f>SUM(H2:H9)</f>
        <v>999</v>
      </c>
      <c r="O6" s="4"/>
      <c r="P6" s="3"/>
    </row>
    <row r="7" spans="1:16">
      <c r="A7" s="2" t="s">
        <v>13</v>
      </c>
      <c r="B7" s="2" t="s">
        <v>23</v>
      </c>
      <c r="C7" s="2" t="s">
        <v>24</v>
      </c>
      <c r="D7" s="2">
        <v>181</v>
      </c>
      <c r="E7" s="2">
        <v>130</v>
      </c>
      <c r="F7" s="2"/>
      <c r="G7" s="2">
        <v>200</v>
      </c>
      <c r="H7" s="2">
        <v>180</v>
      </c>
      <c r="I7" s="2">
        <v>203</v>
      </c>
      <c r="J7" s="3">
        <f t="shared" si="0"/>
        <v>894</v>
      </c>
      <c r="L7" s="2" t="s">
        <v>8</v>
      </c>
      <c r="M7" s="3">
        <f>SUM(I2:I9)</f>
        <v>1032</v>
      </c>
      <c r="O7" s="4"/>
      <c r="P7" s="3"/>
    </row>
    <row r="8" spans="1:16">
      <c r="A8" s="2" t="s">
        <v>13</v>
      </c>
      <c r="B8" s="2" t="s">
        <v>25</v>
      </c>
      <c r="C8" s="2" t="s">
        <v>26</v>
      </c>
      <c r="D8" s="2"/>
      <c r="E8" s="2"/>
      <c r="F8" s="2">
        <v>165</v>
      </c>
      <c r="G8" s="2"/>
      <c r="H8" s="2"/>
      <c r="I8" s="2"/>
      <c r="J8" s="3">
        <f t="shared" si="0"/>
        <v>165</v>
      </c>
      <c r="L8" s="3"/>
      <c r="M8" s="3"/>
      <c r="O8" s="4"/>
      <c r="P8" s="3"/>
    </row>
    <row r="9" spans="1:16">
      <c r="A9" s="2" t="s">
        <v>13</v>
      </c>
      <c r="B9" s="2"/>
      <c r="C9" s="2"/>
      <c r="D9" s="2"/>
      <c r="E9" s="2"/>
      <c r="F9" s="2"/>
      <c r="G9" s="2"/>
      <c r="H9" s="2"/>
      <c r="I9" s="2"/>
      <c r="J9" s="3">
        <f t="shared" si="0"/>
        <v>0</v>
      </c>
      <c r="L9" s="2"/>
      <c r="M9" s="3"/>
      <c r="O9" s="4"/>
      <c r="P9" s="3"/>
    </row>
    <row r="10" spans="1:16">
      <c r="A10" s="6" t="s">
        <v>27</v>
      </c>
      <c r="B10" s="6" t="s">
        <v>28</v>
      </c>
      <c r="C10" s="6" t="s">
        <v>29</v>
      </c>
      <c r="D10" s="6"/>
      <c r="E10" s="6"/>
      <c r="F10" s="6">
        <v>162</v>
      </c>
      <c r="G10" s="6">
        <v>175</v>
      </c>
      <c r="H10" s="6"/>
      <c r="I10" s="6"/>
      <c r="J10" s="3">
        <f t="shared" si="0"/>
        <v>337</v>
      </c>
      <c r="L10" s="6" t="s">
        <v>3</v>
      </c>
      <c r="M10" s="7">
        <f>SUM(D10:D17)</f>
        <v>901</v>
      </c>
      <c r="O10" s="8" t="str">
        <f>A10</f>
        <v>Morehead State</v>
      </c>
      <c r="P10" s="7">
        <f>SUM(M10:M15)</f>
        <v>5859</v>
      </c>
    </row>
    <row r="11" spans="1:16">
      <c r="A11" s="6" t="s">
        <v>27</v>
      </c>
      <c r="B11" s="6" t="s">
        <v>30</v>
      </c>
      <c r="C11" s="6" t="s">
        <v>31</v>
      </c>
      <c r="D11" s="6">
        <v>185</v>
      </c>
      <c r="E11" s="6">
        <v>213</v>
      </c>
      <c r="F11" s="6">
        <v>194</v>
      </c>
      <c r="G11" s="6">
        <v>211</v>
      </c>
      <c r="H11" s="6">
        <v>235</v>
      </c>
      <c r="I11" s="6">
        <v>169</v>
      </c>
      <c r="J11" s="3">
        <f t="shared" si="0"/>
        <v>1207</v>
      </c>
      <c r="L11" s="6" t="s">
        <v>4</v>
      </c>
      <c r="M11" s="7">
        <f>SUM(E10:E17)</f>
        <v>925</v>
      </c>
      <c r="O11" s="8"/>
      <c r="P11" s="7"/>
    </row>
    <row r="12" spans="1:16">
      <c r="A12" s="6" t="s">
        <v>27</v>
      </c>
      <c r="B12" s="6" t="s">
        <v>32</v>
      </c>
      <c r="C12" s="6" t="s">
        <v>33</v>
      </c>
      <c r="D12" s="6"/>
      <c r="E12" s="6"/>
      <c r="F12" s="6"/>
      <c r="G12" s="6"/>
      <c r="H12" s="6">
        <v>222</v>
      </c>
      <c r="I12" s="6">
        <v>207</v>
      </c>
      <c r="J12" s="3">
        <f t="shared" si="0"/>
        <v>429</v>
      </c>
      <c r="L12" s="6" t="s">
        <v>5</v>
      </c>
      <c r="M12" s="7">
        <f>SUM(F10:F17)</f>
        <v>955</v>
      </c>
      <c r="O12" s="8"/>
      <c r="P12" s="7"/>
    </row>
    <row r="13" spans="1:16">
      <c r="A13" s="6" t="s">
        <v>27</v>
      </c>
      <c r="B13" s="6" t="s">
        <v>34</v>
      </c>
      <c r="C13" s="6" t="s">
        <v>35</v>
      </c>
      <c r="D13" s="6">
        <v>158</v>
      </c>
      <c r="E13" s="6">
        <v>175</v>
      </c>
      <c r="F13" s="6">
        <v>235</v>
      </c>
      <c r="G13" s="6">
        <v>194</v>
      </c>
      <c r="H13" s="6">
        <v>224</v>
      </c>
      <c r="I13" s="6">
        <v>227</v>
      </c>
      <c r="J13" s="3">
        <f t="shared" si="0"/>
        <v>1213</v>
      </c>
      <c r="L13" s="6" t="s">
        <v>6</v>
      </c>
      <c r="M13" s="7">
        <f>SUM(G10:G17)</f>
        <v>1010</v>
      </c>
      <c r="O13" s="8"/>
      <c r="P13" s="7"/>
    </row>
    <row r="14" spans="1:16">
      <c r="A14" s="6" t="s">
        <v>27</v>
      </c>
      <c r="B14" s="6" t="s">
        <v>36</v>
      </c>
      <c r="C14" s="6" t="s">
        <v>37</v>
      </c>
      <c r="D14" s="6">
        <v>217</v>
      </c>
      <c r="E14" s="6">
        <v>148</v>
      </c>
      <c r="F14" s="6"/>
      <c r="G14" s="6"/>
      <c r="H14" s="6"/>
      <c r="I14" s="6">
        <v>211</v>
      </c>
      <c r="J14" s="3">
        <f t="shared" si="0"/>
        <v>576</v>
      </c>
      <c r="L14" s="6" t="s">
        <v>7</v>
      </c>
      <c r="M14" s="7">
        <f>SUM(H10:H17)</f>
        <v>1018</v>
      </c>
      <c r="O14" s="8"/>
      <c r="P14" s="7"/>
    </row>
    <row r="15" spans="1:16">
      <c r="A15" s="6" t="s">
        <v>27</v>
      </c>
      <c r="B15" s="6" t="s">
        <v>38</v>
      </c>
      <c r="C15" s="6" t="s">
        <v>39</v>
      </c>
      <c r="D15" s="6"/>
      <c r="E15" s="6">
        <v>166</v>
      </c>
      <c r="F15" s="6">
        <v>171</v>
      </c>
      <c r="G15" s="6">
        <v>220</v>
      </c>
      <c r="H15" s="6">
        <v>186</v>
      </c>
      <c r="I15" s="6">
        <v>236</v>
      </c>
      <c r="J15" s="3">
        <f t="shared" si="0"/>
        <v>979</v>
      </c>
      <c r="L15" s="6" t="s">
        <v>8</v>
      </c>
      <c r="M15" s="7">
        <f>SUM(I10:I17)</f>
        <v>1050</v>
      </c>
      <c r="O15" s="8"/>
      <c r="P15" s="7"/>
    </row>
    <row r="16" spans="1:16">
      <c r="A16" s="6" t="s">
        <v>27</v>
      </c>
      <c r="B16" s="6" t="s">
        <v>40</v>
      </c>
      <c r="C16" s="6" t="s">
        <v>41</v>
      </c>
      <c r="D16" s="6">
        <v>185</v>
      </c>
      <c r="E16" s="6">
        <v>223</v>
      </c>
      <c r="F16" s="6">
        <v>193</v>
      </c>
      <c r="G16" s="6">
        <v>210</v>
      </c>
      <c r="H16" s="6">
        <v>151</v>
      </c>
      <c r="I16" s="6"/>
      <c r="J16" s="3">
        <f t="shared" si="0"/>
        <v>962</v>
      </c>
      <c r="L16" s="6"/>
      <c r="M16" s="7"/>
      <c r="O16" s="8"/>
      <c r="P16" s="7"/>
    </row>
    <row r="17" spans="1:16">
      <c r="A17" s="6" t="s">
        <v>27</v>
      </c>
      <c r="B17" s="6" t="s">
        <v>42</v>
      </c>
      <c r="C17" s="6" t="s">
        <v>43</v>
      </c>
      <c r="D17" s="6">
        <v>156</v>
      </c>
      <c r="E17" s="6"/>
      <c r="F17" s="6"/>
      <c r="G17" s="6"/>
      <c r="H17" s="6"/>
      <c r="I17" s="6"/>
      <c r="J17" s="3">
        <f t="shared" si="0"/>
        <v>156</v>
      </c>
      <c r="L17" s="6"/>
      <c r="M17" s="7"/>
      <c r="O17" s="8"/>
      <c r="P17" s="7"/>
    </row>
    <row r="18" spans="1:16">
      <c r="A18" s="2" t="s">
        <v>44</v>
      </c>
      <c r="B18" s="2" t="s">
        <v>45</v>
      </c>
      <c r="C18" s="2" t="s">
        <v>46</v>
      </c>
      <c r="D18" s="2">
        <v>139</v>
      </c>
      <c r="E18" s="2"/>
      <c r="F18" s="2">
        <v>225</v>
      </c>
      <c r="G18" s="2">
        <v>214</v>
      </c>
      <c r="H18" s="2">
        <v>191</v>
      </c>
      <c r="I18" s="2">
        <v>129</v>
      </c>
      <c r="J18" s="3">
        <f t="shared" si="0"/>
        <v>898</v>
      </c>
      <c r="L18" s="2" t="s">
        <v>3</v>
      </c>
      <c r="M18" s="3">
        <f>SUM(D18:D25)</f>
        <v>795</v>
      </c>
      <c r="O18" s="4" t="str">
        <f>A18</f>
        <v>Lindsey Wilson</v>
      </c>
      <c r="P18" s="3">
        <f>SUM(M18:M23)</f>
        <v>5341</v>
      </c>
    </row>
    <row r="19" spans="1:16">
      <c r="A19" s="2" t="s">
        <v>44</v>
      </c>
      <c r="B19" s="2" t="s">
        <v>47</v>
      </c>
      <c r="C19" s="2" t="s">
        <v>48</v>
      </c>
      <c r="D19" s="2">
        <v>179</v>
      </c>
      <c r="E19" s="2">
        <v>168</v>
      </c>
      <c r="F19" s="2"/>
      <c r="G19" s="2"/>
      <c r="H19" s="2"/>
      <c r="I19" s="2"/>
      <c r="J19" s="3">
        <f t="shared" si="0"/>
        <v>347</v>
      </c>
      <c r="L19" s="2" t="s">
        <v>4</v>
      </c>
      <c r="M19" s="3">
        <f>SUM(E18:E25)</f>
        <v>858</v>
      </c>
      <c r="O19" s="4"/>
      <c r="P19" s="3"/>
    </row>
    <row r="20" spans="1:16">
      <c r="A20" s="2" t="s">
        <v>44</v>
      </c>
      <c r="B20" s="2" t="s">
        <v>49</v>
      </c>
      <c r="C20" s="2" t="s">
        <v>50</v>
      </c>
      <c r="D20" s="2">
        <v>151</v>
      </c>
      <c r="E20" s="2"/>
      <c r="F20" s="2"/>
      <c r="G20" s="2"/>
      <c r="H20" s="2"/>
      <c r="I20" s="2">
        <v>191</v>
      </c>
      <c r="J20" s="3">
        <f t="shared" si="0"/>
        <v>342</v>
      </c>
      <c r="L20" s="2" t="s">
        <v>5</v>
      </c>
      <c r="M20" s="3">
        <f>SUM(F18:F25)</f>
        <v>969</v>
      </c>
      <c r="O20" s="4"/>
      <c r="P20" s="3"/>
    </row>
    <row r="21" spans="1:16">
      <c r="A21" s="2" t="s">
        <v>44</v>
      </c>
      <c r="B21" s="2" t="s">
        <v>51</v>
      </c>
      <c r="C21" s="2" t="s">
        <v>52</v>
      </c>
      <c r="D21" s="2"/>
      <c r="E21" s="2">
        <v>145</v>
      </c>
      <c r="F21" s="2">
        <v>184</v>
      </c>
      <c r="G21" s="2">
        <v>233</v>
      </c>
      <c r="H21" s="2">
        <v>164</v>
      </c>
      <c r="I21" s="2">
        <v>141</v>
      </c>
      <c r="J21" s="3">
        <f t="shared" si="0"/>
        <v>867</v>
      </c>
      <c r="L21" s="2" t="s">
        <v>6</v>
      </c>
      <c r="M21" s="3">
        <f>SUM(G18:G25)</f>
        <v>1066</v>
      </c>
      <c r="O21" s="4"/>
      <c r="P21" s="3"/>
    </row>
    <row r="22" spans="1:16">
      <c r="A22" s="2" t="s">
        <v>44</v>
      </c>
      <c r="B22" s="2" t="s">
        <v>53</v>
      </c>
      <c r="C22" s="2" t="s">
        <v>54</v>
      </c>
      <c r="D22" s="2"/>
      <c r="E22" s="2"/>
      <c r="F22" s="2">
        <v>185</v>
      </c>
      <c r="G22" s="2">
        <v>258</v>
      </c>
      <c r="H22" s="2">
        <v>148</v>
      </c>
      <c r="I22" s="2"/>
      <c r="J22" s="3">
        <f t="shared" si="0"/>
        <v>591</v>
      </c>
      <c r="L22" s="2" t="s">
        <v>7</v>
      </c>
      <c r="M22" s="3">
        <f>SUM(H18:H25)</f>
        <v>917</v>
      </c>
      <c r="O22" s="4"/>
      <c r="P22" s="3"/>
    </row>
    <row r="23" spans="1:16">
      <c r="A23" s="2" t="s">
        <v>44</v>
      </c>
      <c r="B23" s="2" t="s">
        <v>55</v>
      </c>
      <c r="C23" s="2" t="s">
        <v>56</v>
      </c>
      <c r="D23" s="2">
        <v>164</v>
      </c>
      <c r="E23" s="2">
        <v>183</v>
      </c>
      <c r="F23" s="2">
        <v>163</v>
      </c>
      <c r="G23" s="2">
        <v>184</v>
      </c>
      <c r="H23" s="2">
        <v>162</v>
      </c>
      <c r="I23" s="2">
        <v>131</v>
      </c>
      <c r="J23" s="3">
        <f t="shared" si="0"/>
        <v>987</v>
      </c>
      <c r="L23" s="2" t="s">
        <v>8</v>
      </c>
      <c r="M23" s="3">
        <f>SUM(I18:I25)</f>
        <v>736</v>
      </c>
      <c r="O23" s="4"/>
      <c r="P23" s="3"/>
    </row>
    <row r="24" spans="1:16">
      <c r="A24" s="2" t="s">
        <v>44</v>
      </c>
      <c r="B24" s="2" t="s">
        <v>57</v>
      </c>
      <c r="C24" s="2" t="s">
        <v>58</v>
      </c>
      <c r="D24" s="2">
        <v>162</v>
      </c>
      <c r="E24" s="2">
        <v>202</v>
      </c>
      <c r="F24" s="2">
        <v>212</v>
      </c>
      <c r="G24" s="2">
        <v>177</v>
      </c>
      <c r="H24" s="2">
        <v>252</v>
      </c>
      <c r="I24" s="2">
        <v>144</v>
      </c>
      <c r="J24" s="3">
        <f t="shared" si="0"/>
        <v>1149</v>
      </c>
      <c r="L24" s="3"/>
      <c r="M24" s="3"/>
      <c r="O24" s="4"/>
      <c r="P24" s="3"/>
    </row>
    <row r="25" spans="1:16">
      <c r="A25" s="2" t="s">
        <v>44</v>
      </c>
      <c r="B25" s="2" t="s">
        <v>59</v>
      </c>
      <c r="C25" s="2" t="s">
        <v>60</v>
      </c>
      <c r="D25" s="2"/>
      <c r="E25" s="2">
        <v>160</v>
      </c>
      <c r="F25" s="2"/>
      <c r="G25" s="2"/>
      <c r="H25" s="2"/>
      <c r="I25" s="2"/>
      <c r="J25" s="3">
        <f t="shared" si="0"/>
        <v>160</v>
      </c>
      <c r="L25" s="2"/>
      <c r="M25" s="3"/>
      <c r="O25" s="4"/>
      <c r="P25" s="3"/>
    </row>
    <row r="26" spans="1:16">
      <c r="A26" s="6" t="s">
        <v>61</v>
      </c>
      <c r="B26" s="6" t="s">
        <v>45</v>
      </c>
      <c r="C26" s="6" t="s">
        <v>62</v>
      </c>
      <c r="D26" s="6">
        <v>181</v>
      </c>
      <c r="E26" s="6">
        <v>181</v>
      </c>
      <c r="F26" s="6">
        <v>177</v>
      </c>
      <c r="G26" s="6">
        <v>189</v>
      </c>
      <c r="H26" s="6">
        <v>241</v>
      </c>
      <c r="I26" s="6">
        <v>169</v>
      </c>
      <c r="J26" s="3">
        <f t="shared" si="0"/>
        <v>1138</v>
      </c>
      <c r="L26" s="6" t="s">
        <v>3</v>
      </c>
      <c r="M26" s="7">
        <f>SUM(D26:D33)</f>
        <v>732</v>
      </c>
      <c r="O26" s="8" t="str">
        <f>A26</f>
        <v>Kent State</v>
      </c>
      <c r="P26" s="7">
        <f>SUM(M26:M31)</f>
        <v>5412</v>
      </c>
    </row>
    <row r="27" spans="1:16">
      <c r="A27" s="6" t="s">
        <v>61</v>
      </c>
      <c r="B27" s="6"/>
      <c r="C27" s="6"/>
      <c r="D27" s="6"/>
      <c r="E27" s="6"/>
      <c r="F27" s="6"/>
      <c r="G27" s="6"/>
      <c r="H27" s="6"/>
      <c r="I27" s="6"/>
      <c r="J27" s="3">
        <f t="shared" si="0"/>
        <v>0</v>
      </c>
      <c r="L27" s="6" t="s">
        <v>4</v>
      </c>
      <c r="M27" s="7">
        <f>SUM(E26:E33)</f>
        <v>920</v>
      </c>
      <c r="O27" s="8"/>
      <c r="P27" s="7"/>
    </row>
    <row r="28" spans="1:16">
      <c r="A28" s="6" t="s">
        <v>61</v>
      </c>
      <c r="B28" s="6" t="s">
        <v>63</v>
      </c>
      <c r="C28" s="6" t="s">
        <v>64</v>
      </c>
      <c r="D28" s="6">
        <v>135</v>
      </c>
      <c r="E28" s="6">
        <v>189</v>
      </c>
      <c r="F28" s="6">
        <v>185</v>
      </c>
      <c r="G28" s="6">
        <v>208</v>
      </c>
      <c r="H28" s="6">
        <v>185</v>
      </c>
      <c r="I28" s="6">
        <v>204</v>
      </c>
      <c r="J28" s="3">
        <f t="shared" si="0"/>
        <v>1106</v>
      </c>
      <c r="L28" s="6" t="s">
        <v>5</v>
      </c>
      <c r="M28" s="7">
        <f>SUM(F26:F33)</f>
        <v>857</v>
      </c>
      <c r="O28" s="8"/>
      <c r="P28" s="7"/>
    </row>
    <row r="29" spans="1:16">
      <c r="A29" s="6" t="s">
        <v>61</v>
      </c>
      <c r="B29" s="6" t="s">
        <v>65</v>
      </c>
      <c r="C29" s="6" t="s">
        <v>64</v>
      </c>
      <c r="D29" s="6">
        <v>120</v>
      </c>
      <c r="E29" s="6">
        <v>155</v>
      </c>
      <c r="F29" s="6">
        <v>170</v>
      </c>
      <c r="G29" s="6">
        <v>162</v>
      </c>
      <c r="H29" s="6"/>
      <c r="I29" s="6"/>
      <c r="J29" s="3">
        <f t="shared" si="0"/>
        <v>607</v>
      </c>
      <c r="L29" s="6" t="s">
        <v>6</v>
      </c>
      <c r="M29" s="7">
        <f>SUM(G26:G33)</f>
        <v>988</v>
      </c>
      <c r="O29" s="8"/>
      <c r="P29" s="7"/>
    </row>
    <row r="30" spans="1:16">
      <c r="A30" s="6" t="s">
        <v>61</v>
      </c>
      <c r="B30" s="6" t="s">
        <v>66</v>
      </c>
      <c r="C30" s="6" t="s">
        <v>67</v>
      </c>
      <c r="D30" s="6"/>
      <c r="E30" s="6"/>
      <c r="F30" s="6"/>
      <c r="G30" s="6"/>
      <c r="H30" s="6">
        <v>201</v>
      </c>
      <c r="I30" s="6">
        <v>162</v>
      </c>
      <c r="J30" s="3">
        <f t="shared" si="0"/>
        <v>363</v>
      </c>
      <c r="L30" s="6" t="s">
        <v>7</v>
      </c>
      <c r="M30" s="7">
        <f>SUM(H26:H33)</f>
        <v>1034</v>
      </c>
      <c r="O30" s="8"/>
      <c r="P30" s="7"/>
    </row>
    <row r="31" spans="1:16">
      <c r="A31" s="6" t="s">
        <v>61</v>
      </c>
      <c r="B31" s="6" t="s">
        <v>68</v>
      </c>
      <c r="C31" s="6" t="s">
        <v>69</v>
      </c>
      <c r="D31" s="6">
        <v>136</v>
      </c>
      <c r="E31" s="6">
        <v>207</v>
      </c>
      <c r="F31" s="6">
        <v>142</v>
      </c>
      <c r="G31" s="6">
        <v>196</v>
      </c>
      <c r="H31" s="6">
        <v>173</v>
      </c>
      <c r="I31" s="6">
        <v>139</v>
      </c>
      <c r="J31" s="3">
        <f t="shared" si="0"/>
        <v>993</v>
      </c>
      <c r="L31" s="6" t="s">
        <v>8</v>
      </c>
      <c r="M31" s="7">
        <f>SUM(I26:I33)</f>
        <v>881</v>
      </c>
      <c r="O31" s="8"/>
      <c r="P31" s="7"/>
    </row>
    <row r="32" spans="1:16">
      <c r="A32" s="6" t="s">
        <v>61</v>
      </c>
      <c r="B32" s="6" t="s">
        <v>70</v>
      </c>
      <c r="C32" s="6" t="s">
        <v>71</v>
      </c>
      <c r="D32" s="6"/>
      <c r="E32" s="6"/>
      <c r="F32" s="6"/>
      <c r="G32" s="6"/>
      <c r="H32" s="6"/>
      <c r="I32" s="6"/>
      <c r="J32" s="3">
        <f t="shared" si="0"/>
        <v>0</v>
      </c>
      <c r="L32" s="6"/>
      <c r="M32" s="7"/>
      <c r="O32" s="8"/>
      <c r="P32" s="7"/>
    </row>
    <row r="33" spans="1:16">
      <c r="A33" s="6" t="s">
        <v>61</v>
      </c>
      <c r="B33" s="6" t="s">
        <v>72</v>
      </c>
      <c r="C33" s="6" t="s">
        <v>73</v>
      </c>
      <c r="D33" s="6">
        <v>160</v>
      </c>
      <c r="E33" s="6">
        <v>188</v>
      </c>
      <c r="F33" s="6">
        <v>183</v>
      </c>
      <c r="G33" s="6">
        <v>233</v>
      </c>
      <c r="H33" s="6">
        <v>234</v>
      </c>
      <c r="I33" s="6">
        <v>207</v>
      </c>
      <c r="J33" s="3">
        <f t="shared" si="0"/>
        <v>1205</v>
      </c>
      <c r="L33" s="6"/>
      <c r="M33" s="7"/>
      <c r="O33" s="8"/>
      <c r="P33" s="7"/>
    </row>
    <row r="34" spans="1:16">
      <c r="A34" s="2" t="s">
        <v>74</v>
      </c>
      <c r="B34" s="2" t="s">
        <v>45</v>
      </c>
      <c r="C34" s="2" t="s">
        <v>56</v>
      </c>
      <c r="D34" s="2"/>
      <c r="E34" s="2">
        <v>219</v>
      </c>
      <c r="F34" s="2">
        <v>140</v>
      </c>
      <c r="G34" s="2"/>
      <c r="H34" s="2"/>
      <c r="I34" s="2">
        <v>201</v>
      </c>
      <c r="J34" s="3">
        <f t="shared" si="0"/>
        <v>560</v>
      </c>
      <c r="L34" s="2" t="s">
        <v>3</v>
      </c>
      <c r="M34" s="3">
        <f>SUM(D34:D41)</f>
        <v>858</v>
      </c>
      <c r="O34" s="4" t="str">
        <f>A34</f>
        <v>Florida State</v>
      </c>
      <c r="P34" s="3">
        <f>SUM(M34:M39)</f>
        <v>5709</v>
      </c>
    </row>
    <row r="35" spans="1:16">
      <c r="A35" s="2" t="s">
        <v>74</v>
      </c>
      <c r="B35" s="2" t="s">
        <v>75</v>
      </c>
      <c r="C35" s="2" t="s">
        <v>76</v>
      </c>
      <c r="D35" s="2">
        <v>171</v>
      </c>
      <c r="E35" s="2">
        <v>168</v>
      </c>
      <c r="F35" s="2">
        <v>144</v>
      </c>
      <c r="G35" s="2">
        <v>176</v>
      </c>
      <c r="H35" s="2">
        <v>225</v>
      </c>
      <c r="I35" s="2">
        <v>219</v>
      </c>
      <c r="J35" s="3">
        <f t="shared" si="0"/>
        <v>1103</v>
      </c>
      <c r="L35" s="2" t="s">
        <v>4</v>
      </c>
      <c r="M35" s="3">
        <f>SUM(E34:E41)</f>
        <v>960</v>
      </c>
      <c r="O35" s="4"/>
      <c r="P35" s="3"/>
    </row>
    <row r="36" spans="1:16">
      <c r="A36" s="2" t="s">
        <v>74</v>
      </c>
      <c r="B36" s="2" t="s">
        <v>77</v>
      </c>
      <c r="C36" s="2" t="s">
        <v>78</v>
      </c>
      <c r="D36" s="2">
        <v>137</v>
      </c>
      <c r="E36" s="2"/>
      <c r="F36" s="2"/>
      <c r="G36" s="2">
        <v>204</v>
      </c>
      <c r="H36" s="2">
        <v>142</v>
      </c>
      <c r="I36" s="2"/>
      <c r="J36" s="3">
        <f t="shared" si="0"/>
        <v>483</v>
      </c>
      <c r="L36" s="2" t="s">
        <v>5</v>
      </c>
      <c r="M36" s="3">
        <f>SUM(F34:F41)</f>
        <v>893</v>
      </c>
      <c r="O36" s="4"/>
      <c r="P36" s="3"/>
    </row>
    <row r="37" spans="1:16">
      <c r="A37" s="2" t="s">
        <v>74</v>
      </c>
      <c r="B37" s="2" t="s">
        <v>79</v>
      </c>
      <c r="C37" s="2" t="s">
        <v>80</v>
      </c>
      <c r="D37" s="2">
        <v>194</v>
      </c>
      <c r="E37" s="2">
        <v>158</v>
      </c>
      <c r="F37" s="2">
        <v>223</v>
      </c>
      <c r="G37" s="2">
        <v>237</v>
      </c>
      <c r="H37" s="2">
        <v>204</v>
      </c>
      <c r="I37" s="2">
        <v>204</v>
      </c>
      <c r="J37" s="3">
        <f t="shared" si="0"/>
        <v>1220</v>
      </c>
      <c r="L37" s="2" t="s">
        <v>6</v>
      </c>
      <c r="M37" s="3">
        <f>SUM(G34:G41)</f>
        <v>999</v>
      </c>
      <c r="O37" s="4"/>
      <c r="P37" s="3"/>
    </row>
    <row r="38" spans="1:16">
      <c r="A38" s="2" t="s">
        <v>74</v>
      </c>
      <c r="B38" s="2" t="s">
        <v>81</v>
      </c>
      <c r="C38" s="2" t="s">
        <v>82</v>
      </c>
      <c r="D38" s="2">
        <v>155</v>
      </c>
      <c r="E38" s="2">
        <v>192</v>
      </c>
      <c r="F38" s="2">
        <v>221</v>
      </c>
      <c r="G38" s="2">
        <v>183</v>
      </c>
      <c r="H38" s="2">
        <v>202</v>
      </c>
      <c r="I38" s="2">
        <v>206</v>
      </c>
      <c r="J38" s="3">
        <f t="shared" si="0"/>
        <v>1159</v>
      </c>
      <c r="L38" s="2" t="s">
        <v>7</v>
      </c>
      <c r="M38" s="3">
        <f>SUM(H34:H41)</f>
        <v>985</v>
      </c>
      <c r="O38" s="4"/>
      <c r="P38" s="3"/>
    </row>
    <row r="39" spans="1:16">
      <c r="A39" s="2" t="s">
        <v>74</v>
      </c>
      <c r="B39" s="2" t="s">
        <v>83</v>
      </c>
      <c r="C39" s="2" t="s">
        <v>35</v>
      </c>
      <c r="D39" s="2">
        <v>201</v>
      </c>
      <c r="E39" s="2">
        <v>223</v>
      </c>
      <c r="F39" s="2">
        <v>165</v>
      </c>
      <c r="G39" s="2">
        <v>199</v>
      </c>
      <c r="H39" s="2">
        <v>212</v>
      </c>
      <c r="I39" s="2">
        <v>184</v>
      </c>
      <c r="J39" s="3">
        <f t="shared" si="0"/>
        <v>1184</v>
      </c>
      <c r="L39" s="2" t="s">
        <v>8</v>
      </c>
      <c r="M39" s="3">
        <f>SUM(I34:I41)</f>
        <v>1014</v>
      </c>
      <c r="O39" s="4"/>
      <c r="P39" s="3"/>
    </row>
    <row r="40" spans="1:16">
      <c r="A40" s="2" t="s">
        <v>74</v>
      </c>
      <c r="B40" s="2"/>
      <c r="C40" s="2"/>
      <c r="D40" s="2"/>
      <c r="E40" s="2"/>
      <c r="F40" s="2"/>
      <c r="G40" s="2"/>
      <c r="H40" s="2"/>
      <c r="I40" s="2"/>
      <c r="J40" s="3">
        <f t="shared" si="0"/>
        <v>0</v>
      </c>
      <c r="L40" s="3"/>
      <c r="M40" s="3"/>
      <c r="O40" s="4"/>
      <c r="P40" s="3"/>
    </row>
    <row r="41" spans="1:16">
      <c r="A41" s="2" t="s">
        <v>74</v>
      </c>
      <c r="B41" s="2"/>
      <c r="C41" s="2"/>
      <c r="D41" s="2"/>
      <c r="E41" s="2"/>
      <c r="F41" s="2"/>
      <c r="G41" s="2"/>
      <c r="H41" s="2"/>
      <c r="I41" s="2"/>
      <c r="J41" s="3">
        <f t="shared" si="0"/>
        <v>0</v>
      </c>
      <c r="L41" s="2"/>
      <c r="M41" s="3"/>
      <c r="O41" s="4"/>
      <c r="P41" s="3"/>
    </row>
    <row r="42" spans="1:16">
      <c r="A42" s="6" t="s">
        <v>84</v>
      </c>
      <c r="B42" s="6" t="s">
        <v>14</v>
      </c>
      <c r="C42" s="6" t="s">
        <v>85</v>
      </c>
      <c r="D42" s="6">
        <v>247</v>
      </c>
      <c r="E42" s="6">
        <v>185</v>
      </c>
      <c r="F42" s="6">
        <v>184</v>
      </c>
      <c r="G42" s="6">
        <v>233</v>
      </c>
      <c r="H42" s="6">
        <v>245</v>
      </c>
      <c r="I42" s="6">
        <v>183</v>
      </c>
      <c r="J42" s="3">
        <f t="shared" si="0"/>
        <v>1277</v>
      </c>
      <c r="L42" s="6" t="s">
        <v>3</v>
      </c>
      <c r="M42" s="7">
        <f>SUM(D42:D49)</f>
        <v>929</v>
      </c>
      <c r="O42" s="8" t="str">
        <f>A42</f>
        <v>Davenport</v>
      </c>
      <c r="P42" s="7">
        <f>SUM(M42:M47)</f>
        <v>5885</v>
      </c>
    </row>
    <row r="43" spans="1:16">
      <c r="A43" s="6" t="s">
        <v>84</v>
      </c>
      <c r="B43" s="6" t="s">
        <v>86</v>
      </c>
      <c r="C43" s="6" t="s">
        <v>87</v>
      </c>
      <c r="D43" s="6"/>
      <c r="E43" s="6"/>
      <c r="F43" s="6">
        <v>161</v>
      </c>
      <c r="G43" s="6">
        <v>234</v>
      </c>
      <c r="H43" s="6">
        <v>170</v>
      </c>
      <c r="I43" s="6">
        <v>206</v>
      </c>
      <c r="J43" s="3">
        <f t="shared" si="0"/>
        <v>771</v>
      </c>
      <c r="L43" s="6" t="s">
        <v>4</v>
      </c>
      <c r="M43" s="7">
        <f>SUM(E42:E49)</f>
        <v>941</v>
      </c>
      <c r="O43" s="8"/>
      <c r="P43" s="7"/>
    </row>
    <row r="44" spans="1:16">
      <c r="A44" s="6" t="s">
        <v>84</v>
      </c>
      <c r="B44" s="6" t="s">
        <v>75</v>
      </c>
      <c r="C44" s="6" t="s">
        <v>88</v>
      </c>
      <c r="D44" s="6"/>
      <c r="E44" s="6"/>
      <c r="F44" s="6"/>
      <c r="G44" s="6"/>
      <c r="H44" s="6"/>
      <c r="I44" s="6"/>
      <c r="J44" s="3">
        <f t="shared" si="0"/>
        <v>0</v>
      </c>
      <c r="L44" s="6" t="s">
        <v>5</v>
      </c>
      <c r="M44" s="7">
        <f>SUM(F42:F49)</f>
        <v>930</v>
      </c>
      <c r="O44" s="8"/>
      <c r="P44" s="7"/>
    </row>
    <row r="45" spans="1:16">
      <c r="A45" s="6" t="s">
        <v>84</v>
      </c>
      <c r="B45" s="6" t="s">
        <v>89</v>
      </c>
      <c r="C45" s="6" t="s">
        <v>90</v>
      </c>
      <c r="D45" s="6">
        <v>166</v>
      </c>
      <c r="E45" s="6">
        <v>175</v>
      </c>
      <c r="F45" s="6">
        <v>193</v>
      </c>
      <c r="G45" s="6">
        <v>165</v>
      </c>
      <c r="H45" s="6">
        <v>208</v>
      </c>
      <c r="I45" s="6">
        <v>173</v>
      </c>
      <c r="J45" s="3">
        <f t="shared" si="0"/>
        <v>1080</v>
      </c>
      <c r="L45" s="6" t="s">
        <v>6</v>
      </c>
      <c r="M45" s="7">
        <f>SUM(G42:G49)</f>
        <v>1051</v>
      </c>
      <c r="O45" s="8"/>
      <c r="P45" s="7"/>
    </row>
    <row r="46" spans="1:16">
      <c r="A46" s="6" t="s">
        <v>84</v>
      </c>
      <c r="B46" s="6" t="s">
        <v>55</v>
      </c>
      <c r="C46" s="6" t="s">
        <v>91</v>
      </c>
      <c r="D46" s="6"/>
      <c r="E46" s="6"/>
      <c r="F46" s="6"/>
      <c r="G46" s="6"/>
      <c r="H46" s="6"/>
      <c r="I46" s="6"/>
      <c r="J46" s="3">
        <f t="shared" si="0"/>
        <v>0</v>
      </c>
      <c r="L46" s="6" t="s">
        <v>7</v>
      </c>
      <c r="M46" s="7">
        <f>SUM(H42:H49)</f>
        <v>1014</v>
      </c>
      <c r="O46" s="8"/>
      <c r="P46" s="7"/>
    </row>
    <row r="47" spans="1:16">
      <c r="A47" s="6" t="s">
        <v>84</v>
      </c>
      <c r="B47" s="6" t="s">
        <v>92</v>
      </c>
      <c r="C47" s="6" t="s">
        <v>93</v>
      </c>
      <c r="D47" s="6">
        <v>147</v>
      </c>
      <c r="E47" s="6">
        <v>228</v>
      </c>
      <c r="F47" s="6">
        <v>193</v>
      </c>
      <c r="G47" s="6">
        <v>173</v>
      </c>
      <c r="H47" s="6">
        <v>170</v>
      </c>
      <c r="I47" s="6"/>
      <c r="J47" s="3">
        <f t="shared" si="0"/>
        <v>911</v>
      </c>
      <c r="L47" s="6" t="s">
        <v>8</v>
      </c>
      <c r="M47" s="7">
        <f>SUM(I42:I49)</f>
        <v>1020</v>
      </c>
      <c r="O47" s="8"/>
      <c r="P47" s="7"/>
    </row>
    <row r="48" spans="1:16">
      <c r="A48" s="6" t="s">
        <v>84</v>
      </c>
      <c r="B48" s="6" t="s">
        <v>94</v>
      </c>
      <c r="C48" s="6" t="s">
        <v>95</v>
      </c>
      <c r="D48" s="6">
        <v>165</v>
      </c>
      <c r="E48" s="6">
        <v>149</v>
      </c>
      <c r="F48" s="6"/>
      <c r="G48" s="6"/>
      <c r="H48" s="6"/>
      <c r="I48" s="6">
        <v>235</v>
      </c>
      <c r="J48" s="3">
        <f t="shared" si="0"/>
        <v>549</v>
      </c>
      <c r="L48" s="6"/>
      <c r="M48" s="7"/>
      <c r="O48" s="8"/>
      <c r="P48" s="7"/>
    </row>
    <row r="49" spans="1:16">
      <c r="A49" s="6" t="s">
        <v>84</v>
      </c>
      <c r="B49" s="6" t="s">
        <v>96</v>
      </c>
      <c r="C49" s="6" t="s">
        <v>97</v>
      </c>
      <c r="D49" s="6">
        <v>204</v>
      </c>
      <c r="E49" s="6">
        <v>204</v>
      </c>
      <c r="F49" s="6">
        <v>199</v>
      </c>
      <c r="G49" s="6">
        <v>246</v>
      </c>
      <c r="H49" s="6">
        <v>221</v>
      </c>
      <c r="I49" s="6">
        <v>223</v>
      </c>
      <c r="J49" s="3">
        <f t="shared" si="0"/>
        <v>1297</v>
      </c>
      <c r="L49" s="6"/>
      <c r="M49" s="7"/>
      <c r="O49" s="8"/>
      <c r="P49" s="7"/>
    </row>
    <row r="50" spans="1:16">
      <c r="A50" s="2" t="s">
        <v>98</v>
      </c>
      <c r="B50" s="2" t="s">
        <v>99</v>
      </c>
      <c r="C50" s="2" t="s">
        <v>100</v>
      </c>
      <c r="D50" s="2">
        <v>145</v>
      </c>
      <c r="E50" s="2">
        <v>230</v>
      </c>
      <c r="F50" s="2">
        <v>162</v>
      </c>
      <c r="G50" s="2">
        <v>120</v>
      </c>
      <c r="H50" s="2"/>
      <c r="I50" s="2"/>
      <c r="J50" s="3">
        <f t="shared" si="0"/>
        <v>657</v>
      </c>
      <c r="L50" s="2" t="s">
        <v>3</v>
      </c>
      <c r="M50" s="3">
        <f>SUM(D50:D57)</f>
        <v>899</v>
      </c>
      <c r="O50" s="4" t="str">
        <f>A50</f>
        <v>Clarke</v>
      </c>
      <c r="P50" s="3">
        <f>SUM(M50:M55)</f>
        <v>5125</v>
      </c>
    </row>
    <row r="51" spans="1:16">
      <c r="A51" s="2" t="s">
        <v>98</v>
      </c>
      <c r="B51" s="2" t="s">
        <v>101</v>
      </c>
      <c r="C51" s="2" t="s">
        <v>102</v>
      </c>
      <c r="D51" s="2"/>
      <c r="E51" s="2"/>
      <c r="F51" s="2"/>
      <c r="G51" s="2"/>
      <c r="H51" s="2"/>
      <c r="I51" s="2">
        <v>152</v>
      </c>
      <c r="J51" s="3">
        <f t="shared" si="0"/>
        <v>152</v>
      </c>
      <c r="L51" s="2" t="s">
        <v>4</v>
      </c>
      <c r="M51" s="3">
        <f>SUM(E50:E57)</f>
        <v>897</v>
      </c>
      <c r="O51" s="4"/>
      <c r="P51" s="3"/>
    </row>
    <row r="52" spans="1:16">
      <c r="A52" s="2" t="s">
        <v>98</v>
      </c>
      <c r="B52" s="2" t="s">
        <v>103</v>
      </c>
      <c r="C52" s="2" t="s">
        <v>104</v>
      </c>
      <c r="D52" s="2"/>
      <c r="E52" s="2"/>
      <c r="F52" s="2"/>
      <c r="G52" s="2"/>
      <c r="H52" s="2">
        <v>191</v>
      </c>
      <c r="I52" s="2">
        <v>143</v>
      </c>
      <c r="J52" s="3">
        <f t="shared" si="0"/>
        <v>334</v>
      </c>
      <c r="L52" s="2" t="s">
        <v>5</v>
      </c>
      <c r="M52" s="3">
        <f>SUM(F50:F57)</f>
        <v>841</v>
      </c>
      <c r="O52" s="4"/>
      <c r="P52" s="3"/>
    </row>
    <row r="53" spans="1:16">
      <c r="A53" s="2" t="s">
        <v>98</v>
      </c>
      <c r="B53" s="2" t="s">
        <v>105</v>
      </c>
      <c r="C53" s="2" t="s">
        <v>106</v>
      </c>
      <c r="D53" s="2">
        <v>232</v>
      </c>
      <c r="E53" s="2">
        <v>170</v>
      </c>
      <c r="F53" s="2">
        <v>184</v>
      </c>
      <c r="G53" s="2">
        <v>174</v>
      </c>
      <c r="H53" s="2">
        <v>189</v>
      </c>
      <c r="I53" s="2">
        <v>148</v>
      </c>
      <c r="J53" s="3">
        <f t="shared" si="0"/>
        <v>1097</v>
      </c>
      <c r="L53" s="2" t="s">
        <v>6</v>
      </c>
      <c r="M53" s="3">
        <f>SUM(G50:G57)</f>
        <v>893</v>
      </c>
      <c r="O53" s="4"/>
      <c r="P53" s="3"/>
    </row>
    <row r="54" spans="1:16">
      <c r="A54" s="2" t="s">
        <v>98</v>
      </c>
      <c r="B54" s="2" t="s">
        <v>105</v>
      </c>
      <c r="C54" s="2" t="s">
        <v>107</v>
      </c>
      <c r="D54" s="2">
        <v>133</v>
      </c>
      <c r="E54" s="2">
        <v>158</v>
      </c>
      <c r="F54" s="2">
        <v>182</v>
      </c>
      <c r="G54" s="2">
        <v>187</v>
      </c>
      <c r="H54" s="2">
        <v>118</v>
      </c>
      <c r="I54" s="2"/>
      <c r="J54" s="3">
        <f t="shared" si="0"/>
        <v>778</v>
      </c>
      <c r="L54" s="2" t="s">
        <v>7</v>
      </c>
      <c r="M54" s="3">
        <f>SUM(H50:H57)</f>
        <v>787</v>
      </c>
      <c r="O54" s="4"/>
      <c r="P54" s="3"/>
    </row>
    <row r="55" spans="1:16">
      <c r="A55" s="2" t="s">
        <v>98</v>
      </c>
      <c r="B55" s="2" t="s">
        <v>108</v>
      </c>
      <c r="C55" s="2" t="s">
        <v>109</v>
      </c>
      <c r="D55" s="2">
        <v>219</v>
      </c>
      <c r="E55" s="2">
        <v>188</v>
      </c>
      <c r="F55" s="2">
        <v>156</v>
      </c>
      <c r="G55" s="2">
        <v>188</v>
      </c>
      <c r="H55" s="2">
        <v>137</v>
      </c>
      <c r="I55" s="2">
        <v>179</v>
      </c>
      <c r="J55" s="3">
        <f t="shared" si="0"/>
        <v>1067</v>
      </c>
      <c r="L55" s="2" t="s">
        <v>8</v>
      </c>
      <c r="M55" s="3">
        <f>SUM(I50:I57)</f>
        <v>808</v>
      </c>
      <c r="O55" s="4"/>
      <c r="P55" s="3"/>
    </row>
    <row r="56" spans="1:16">
      <c r="A56" s="2" t="s">
        <v>98</v>
      </c>
      <c r="B56" s="2" t="s">
        <v>94</v>
      </c>
      <c r="C56" s="2" t="s">
        <v>110</v>
      </c>
      <c r="D56" s="2"/>
      <c r="E56" s="2"/>
      <c r="F56" s="2"/>
      <c r="G56" s="2">
        <v>224</v>
      </c>
      <c r="H56" s="2">
        <v>152</v>
      </c>
      <c r="I56" s="2">
        <v>186</v>
      </c>
      <c r="J56" s="3">
        <f t="shared" si="0"/>
        <v>562</v>
      </c>
      <c r="L56" s="3"/>
      <c r="M56" s="3"/>
      <c r="O56" s="4"/>
      <c r="P56" s="3"/>
    </row>
    <row r="57" spans="1:16">
      <c r="A57" s="2" t="s">
        <v>98</v>
      </c>
      <c r="B57" s="2" t="s">
        <v>111</v>
      </c>
      <c r="C57" s="2" t="s">
        <v>112</v>
      </c>
      <c r="D57" s="2">
        <v>170</v>
      </c>
      <c r="E57" s="2">
        <v>151</v>
      </c>
      <c r="F57" s="2">
        <v>157</v>
      </c>
      <c r="G57" s="2"/>
      <c r="H57" s="2"/>
      <c r="I57" s="2"/>
      <c r="J57" s="3">
        <f t="shared" si="0"/>
        <v>478</v>
      </c>
      <c r="L57" s="2"/>
      <c r="M57" s="3"/>
      <c r="O57" s="4"/>
      <c r="P57" s="3"/>
    </row>
    <row r="58" spans="1:16">
      <c r="A58" s="6" t="s">
        <v>113</v>
      </c>
      <c r="B58" s="6" t="s">
        <v>99</v>
      </c>
      <c r="C58" s="6" t="s">
        <v>114</v>
      </c>
      <c r="D58" s="6">
        <v>193</v>
      </c>
      <c r="E58" s="6">
        <v>175</v>
      </c>
      <c r="F58" s="6">
        <v>207</v>
      </c>
      <c r="G58" s="6">
        <v>215</v>
      </c>
      <c r="H58" s="6">
        <v>209</v>
      </c>
      <c r="I58" s="6">
        <v>168</v>
      </c>
      <c r="J58" s="3">
        <f t="shared" si="0"/>
        <v>1167</v>
      </c>
      <c r="L58" s="6" t="s">
        <v>3</v>
      </c>
      <c r="M58" s="7">
        <f>SUM(D58:D65)</f>
        <v>788</v>
      </c>
      <c r="O58" s="8" t="str">
        <f>A58</f>
        <v>Bethel</v>
      </c>
      <c r="P58" s="7">
        <f>SUM(M58:M63)</f>
        <v>5105</v>
      </c>
    </row>
    <row r="59" spans="1:16">
      <c r="A59" s="6" t="s">
        <v>113</v>
      </c>
      <c r="B59" s="6" t="s">
        <v>115</v>
      </c>
      <c r="C59" s="6" t="s">
        <v>116</v>
      </c>
      <c r="D59" s="6">
        <v>149</v>
      </c>
      <c r="E59" s="6">
        <v>153</v>
      </c>
      <c r="F59" s="6">
        <v>140</v>
      </c>
      <c r="G59" s="6">
        <v>146</v>
      </c>
      <c r="H59" s="6">
        <v>163</v>
      </c>
      <c r="I59" s="6">
        <v>214</v>
      </c>
      <c r="J59" s="3">
        <f t="shared" si="0"/>
        <v>965</v>
      </c>
      <c r="L59" s="6" t="s">
        <v>4</v>
      </c>
      <c r="M59" s="7">
        <f>SUM(E58:E65)</f>
        <v>774</v>
      </c>
      <c r="O59" s="8"/>
      <c r="P59" s="7"/>
    </row>
    <row r="60" spans="1:16">
      <c r="A60" s="6" t="s">
        <v>113</v>
      </c>
      <c r="B60" s="6" t="s">
        <v>117</v>
      </c>
      <c r="C60" s="6" t="s">
        <v>118</v>
      </c>
      <c r="D60" s="6">
        <v>173</v>
      </c>
      <c r="E60" s="6">
        <v>155</v>
      </c>
      <c r="F60" s="6">
        <v>133</v>
      </c>
      <c r="G60" s="6">
        <v>169</v>
      </c>
      <c r="H60" s="6">
        <v>171</v>
      </c>
      <c r="I60" s="6">
        <v>206</v>
      </c>
      <c r="J60" s="3">
        <f t="shared" si="0"/>
        <v>1007</v>
      </c>
      <c r="L60" s="6" t="s">
        <v>5</v>
      </c>
      <c r="M60" s="7">
        <f>SUM(F58:F65)</f>
        <v>842</v>
      </c>
      <c r="O60" s="8"/>
      <c r="P60" s="7"/>
    </row>
    <row r="61" spans="1:16">
      <c r="A61" s="6" t="s">
        <v>113</v>
      </c>
      <c r="B61" s="6" t="s">
        <v>23</v>
      </c>
      <c r="C61" s="6" t="s">
        <v>119</v>
      </c>
      <c r="D61" s="6"/>
      <c r="E61" s="6">
        <v>122</v>
      </c>
      <c r="F61" s="6"/>
      <c r="G61" s="6"/>
      <c r="H61" s="6"/>
      <c r="I61" s="6"/>
      <c r="J61" s="3">
        <f t="shared" si="0"/>
        <v>122</v>
      </c>
      <c r="L61" s="6" t="s">
        <v>6</v>
      </c>
      <c r="M61" s="7">
        <f>SUM(G58:G65)</f>
        <v>842</v>
      </c>
      <c r="O61" s="8"/>
      <c r="P61" s="7"/>
    </row>
    <row r="62" spans="1:16">
      <c r="A62" s="6" t="s">
        <v>113</v>
      </c>
      <c r="B62" s="6" t="s">
        <v>120</v>
      </c>
      <c r="C62" s="6" t="s">
        <v>121</v>
      </c>
      <c r="D62" s="6">
        <v>147</v>
      </c>
      <c r="E62" s="6">
        <v>169</v>
      </c>
      <c r="F62" s="6">
        <v>182</v>
      </c>
      <c r="G62" s="6">
        <v>135</v>
      </c>
      <c r="H62" s="6"/>
      <c r="I62" s="6"/>
      <c r="J62" s="3">
        <f t="shared" si="0"/>
        <v>633</v>
      </c>
      <c r="L62" s="6" t="s">
        <v>7</v>
      </c>
      <c r="M62" s="7">
        <f>SUM(H58:H65)</f>
        <v>887</v>
      </c>
      <c r="O62" s="8"/>
      <c r="P62" s="7"/>
    </row>
    <row r="63" spans="1:16">
      <c r="A63" s="6" t="s">
        <v>113</v>
      </c>
      <c r="B63" s="6" t="s">
        <v>122</v>
      </c>
      <c r="C63" s="6" t="s">
        <v>123</v>
      </c>
      <c r="D63" s="6"/>
      <c r="E63" s="6"/>
      <c r="F63" s="6">
        <v>180</v>
      </c>
      <c r="G63" s="6">
        <v>177</v>
      </c>
      <c r="H63" s="6">
        <v>174</v>
      </c>
      <c r="I63" s="6">
        <v>210</v>
      </c>
      <c r="J63" s="3">
        <f t="shared" si="0"/>
        <v>741</v>
      </c>
      <c r="L63" s="6" t="s">
        <v>8</v>
      </c>
      <c r="M63" s="7">
        <f>SUM(I58:I65)</f>
        <v>972</v>
      </c>
      <c r="O63" s="8"/>
      <c r="P63" s="7"/>
    </row>
    <row r="64" spans="1:16">
      <c r="A64" s="6" t="s">
        <v>113</v>
      </c>
      <c r="B64" s="6" t="s">
        <v>124</v>
      </c>
      <c r="C64" s="6" t="s">
        <v>125</v>
      </c>
      <c r="D64" s="6">
        <v>126</v>
      </c>
      <c r="E64" s="6"/>
      <c r="F64" s="6"/>
      <c r="G64" s="6"/>
      <c r="H64" s="6">
        <v>170</v>
      </c>
      <c r="I64" s="6">
        <v>174</v>
      </c>
      <c r="J64" s="3">
        <f t="shared" si="0"/>
        <v>470</v>
      </c>
      <c r="L64" s="6"/>
      <c r="M64" s="7"/>
      <c r="O64" s="8"/>
      <c r="P64" s="7"/>
    </row>
    <row r="65" spans="1:16">
      <c r="A65" s="6" t="s">
        <v>113</v>
      </c>
      <c r="B65" s="6" t="s">
        <v>59</v>
      </c>
      <c r="C65" s="6" t="s">
        <v>126</v>
      </c>
      <c r="D65" s="6"/>
      <c r="E65" s="6"/>
      <c r="F65" s="6"/>
      <c r="G65" s="6"/>
      <c r="H65" s="6"/>
      <c r="I65" s="6"/>
      <c r="J65" s="3">
        <f t="shared" si="0"/>
        <v>0</v>
      </c>
      <c r="L65" s="6"/>
      <c r="M65" s="7"/>
      <c r="O65" s="8"/>
      <c r="P65" s="7"/>
    </row>
    <row r="66" spans="1:16">
      <c r="A66" s="2" t="s">
        <v>127</v>
      </c>
      <c r="B66" s="2" t="s">
        <v>128</v>
      </c>
      <c r="C66" s="2" t="s">
        <v>129</v>
      </c>
      <c r="D66" s="2">
        <v>160</v>
      </c>
      <c r="E66" s="2"/>
      <c r="F66" s="2"/>
      <c r="G66" s="2"/>
      <c r="H66" s="2"/>
      <c r="I66" s="2"/>
      <c r="J66" s="3">
        <f t="shared" si="0"/>
        <v>160</v>
      </c>
      <c r="L66" s="2" t="s">
        <v>3</v>
      </c>
      <c r="M66" s="3">
        <f>SUM(D66:D73)</f>
        <v>844</v>
      </c>
      <c r="O66" s="4" t="str">
        <f>A66</f>
        <v>Aquinas</v>
      </c>
      <c r="P66" s="3">
        <f>SUM(M66:M71)</f>
        <v>5384</v>
      </c>
    </row>
    <row r="67" spans="1:16">
      <c r="A67" s="2" t="s">
        <v>127</v>
      </c>
      <c r="B67" s="2" t="s">
        <v>130</v>
      </c>
      <c r="C67" s="2" t="s">
        <v>131</v>
      </c>
      <c r="D67" s="2">
        <v>195</v>
      </c>
      <c r="E67" s="2">
        <v>185</v>
      </c>
      <c r="F67" s="2">
        <v>150</v>
      </c>
      <c r="G67" s="2">
        <v>158</v>
      </c>
      <c r="H67" s="2">
        <v>233</v>
      </c>
      <c r="I67" s="2">
        <v>214</v>
      </c>
      <c r="J67" s="3">
        <f t="shared" ref="J67:J130" si="1">SUM(D67:I67)</f>
        <v>1135</v>
      </c>
      <c r="L67" s="2" t="s">
        <v>4</v>
      </c>
      <c r="M67" s="3">
        <f>SUM(E66:E73)</f>
        <v>832</v>
      </c>
      <c r="O67" s="4"/>
      <c r="P67" s="3"/>
    </row>
    <row r="68" spans="1:16">
      <c r="A68" s="2" t="s">
        <v>127</v>
      </c>
      <c r="B68" s="2" t="s">
        <v>132</v>
      </c>
      <c r="C68" s="2" t="s">
        <v>133</v>
      </c>
      <c r="D68" s="2">
        <v>187</v>
      </c>
      <c r="E68" s="2">
        <v>196</v>
      </c>
      <c r="F68" s="2">
        <v>170</v>
      </c>
      <c r="G68" s="2">
        <v>159</v>
      </c>
      <c r="H68" s="2">
        <v>179</v>
      </c>
      <c r="I68" s="2">
        <v>212</v>
      </c>
      <c r="J68" s="3">
        <f t="shared" si="1"/>
        <v>1103</v>
      </c>
      <c r="L68" s="2" t="s">
        <v>5</v>
      </c>
      <c r="M68" s="3">
        <f>SUM(F66:F73)</f>
        <v>881</v>
      </c>
      <c r="O68" s="4"/>
      <c r="P68" s="3"/>
    </row>
    <row r="69" spans="1:16">
      <c r="A69" s="2" t="s">
        <v>127</v>
      </c>
      <c r="B69" s="2" t="s">
        <v>134</v>
      </c>
      <c r="C69" s="2" t="s">
        <v>135</v>
      </c>
      <c r="D69" s="2">
        <v>123</v>
      </c>
      <c r="E69" s="2"/>
      <c r="F69" s="2">
        <v>194</v>
      </c>
      <c r="G69" s="2">
        <v>144</v>
      </c>
      <c r="H69" s="2">
        <v>170</v>
      </c>
      <c r="I69" s="2">
        <v>171</v>
      </c>
      <c r="J69" s="3">
        <f t="shared" si="1"/>
        <v>802</v>
      </c>
      <c r="L69" s="2" t="s">
        <v>6</v>
      </c>
      <c r="M69" s="3">
        <f>SUM(G66:G73)</f>
        <v>783</v>
      </c>
      <c r="O69" s="4"/>
      <c r="P69" s="3"/>
    </row>
    <row r="70" spans="1:16">
      <c r="A70" s="2" t="s">
        <v>127</v>
      </c>
      <c r="B70" s="2" t="s">
        <v>136</v>
      </c>
      <c r="C70" s="2" t="s">
        <v>137</v>
      </c>
      <c r="D70" s="2"/>
      <c r="E70" s="2"/>
      <c r="F70" s="2"/>
      <c r="G70" s="2"/>
      <c r="H70" s="2"/>
      <c r="I70" s="2"/>
      <c r="J70" s="3">
        <f t="shared" si="1"/>
        <v>0</v>
      </c>
      <c r="L70" s="2" t="s">
        <v>7</v>
      </c>
      <c r="M70" s="3">
        <f>SUM(H66:H73)</f>
        <v>1012</v>
      </c>
      <c r="O70" s="4"/>
      <c r="P70" s="3"/>
    </row>
    <row r="71" spans="1:16">
      <c r="A71" s="2" t="s">
        <v>127</v>
      </c>
      <c r="B71" s="2" t="s">
        <v>92</v>
      </c>
      <c r="C71" s="2" t="s">
        <v>138</v>
      </c>
      <c r="D71" s="2">
        <v>179</v>
      </c>
      <c r="E71" s="2">
        <v>157</v>
      </c>
      <c r="F71" s="2">
        <v>199</v>
      </c>
      <c r="G71" s="2">
        <v>161</v>
      </c>
      <c r="H71" s="2">
        <v>225</v>
      </c>
      <c r="I71" s="2">
        <v>196</v>
      </c>
      <c r="J71" s="3">
        <f t="shared" si="1"/>
        <v>1117</v>
      </c>
      <c r="L71" s="2" t="s">
        <v>8</v>
      </c>
      <c r="M71" s="3">
        <f>SUM(I66:I73)</f>
        <v>1032</v>
      </c>
      <c r="O71" s="4"/>
      <c r="P71" s="3"/>
    </row>
    <row r="72" spans="1:16">
      <c r="A72" s="2" t="s">
        <v>127</v>
      </c>
      <c r="B72" s="2" t="s">
        <v>139</v>
      </c>
      <c r="C72" s="2" t="s">
        <v>140</v>
      </c>
      <c r="D72" s="2"/>
      <c r="E72" s="2">
        <v>107</v>
      </c>
      <c r="F72" s="2"/>
      <c r="G72" s="2"/>
      <c r="H72" s="2"/>
      <c r="I72" s="2"/>
      <c r="J72" s="3">
        <f t="shared" si="1"/>
        <v>107</v>
      </c>
      <c r="L72" s="3"/>
      <c r="M72" s="3"/>
      <c r="O72" s="4"/>
      <c r="P72" s="3"/>
    </row>
    <row r="73" spans="1:16">
      <c r="A73" s="2" t="s">
        <v>127</v>
      </c>
      <c r="B73" s="2" t="s">
        <v>141</v>
      </c>
      <c r="C73" s="2" t="s">
        <v>142</v>
      </c>
      <c r="D73" s="2"/>
      <c r="E73" s="2">
        <v>187</v>
      </c>
      <c r="F73" s="2">
        <v>168</v>
      </c>
      <c r="G73" s="2">
        <v>161</v>
      </c>
      <c r="H73" s="2">
        <v>205</v>
      </c>
      <c r="I73" s="2">
        <v>239</v>
      </c>
      <c r="J73" s="3">
        <f t="shared" si="1"/>
        <v>960</v>
      </c>
      <c r="L73" s="2"/>
      <c r="M73" s="3"/>
      <c r="O73" s="4"/>
      <c r="P73" s="3"/>
    </row>
    <row r="74" spans="1:16">
      <c r="A74" s="6" t="s">
        <v>143</v>
      </c>
      <c r="B74" s="6" t="s">
        <v>144</v>
      </c>
      <c r="C74" s="6" t="s">
        <v>145</v>
      </c>
      <c r="D74" s="6"/>
      <c r="E74" s="6"/>
      <c r="F74" s="6">
        <v>178</v>
      </c>
      <c r="G74" s="6">
        <v>175</v>
      </c>
      <c r="H74" s="6"/>
      <c r="I74" s="6">
        <v>176</v>
      </c>
      <c r="J74" s="3">
        <f t="shared" si="1"/>
        <v>529</v>
      </c>
      <c r="L74" s="6" t="s">
        <v>3</v>
      </c>
      <c r="M74" s="7">
        <f>SUM(D74:D81)</f>
        <v>765</v>
      </c>
      <c r="O74" s="8" t="str">
        <f>A74</f>
        <v>Cal State - Fresno</v>
      </c>
      <c r="P74" s="7">
        <f>SUM(M74:M79)</f>
        <v>5422</v>
      </c>
    </row>
    <row r="75" spans="1:16">
      <c r="A75" s="6" t="s">
        <v>143</v>
      </c>
      <c r="B75" s="6" t="s">
        <v>146</v>
      </c>
      <c r="C75" s="6" t="s">
        <v>147</v>
      </c>
      <c r="D75" s="6">
        <v>138</v>
      </c>
      <c r="E75" s="6">
        <v>148</v>
      </c>
      <c r="F75" s="6"/>
      <c r="G75" s="6"/>
      <c r="H75" s="6">
        <v>158</v>
      </c>
      <c r="I75" s="6">
        <v>198</v>
      </c>
      <c r="J75" s="3">
        <f t="shared" si="1"/>
        <v>642</v>
      </c>
      <c r="L75" s="6" t="s">
        <v>4</v>
      </c>
      <c r="M75" s="7">
        <f>SUM(E74:E81)</f>
        <v>946</v>
      </c>
      <c r="O75" s="8"/>
      <c r="P75" s="7"/>
    </row>
    <row r="76" spans="1:16">
      <c r="A76" s="6" t="s">
        <v>143</v>
      </c>
      <c r="B76" s="6" t="s">
        <v>148</v>
      </c>
      <c r="C76" s="6" t="s">
        <v>149</v>
      </c>
      <c r="D76" s="6">
        <v>154</v>
      </c>
      <c r="E76" s="6">
        <v>174</v>
      </c>
      <c r="F76" s="6">
        <v>220</v>
      </c>
      <c r="G76" s="6">
        <v>192</v>
      </c>
      <c r="H76" s="6">
        <v>146</v>
      </c>
      <c r="I76" s="6"/>
      <c r="J76" s="3">
        <f t="shared" si="1"/>
        <v>886</v>
      </c>
      <c r="L76" s="6" t="s">
        <v>5</v>
      </c>
      <c r="M76" s="7">
        <f>SUM(F74:F81)</f>
        <v>980</v>
      </c>
      <c r="O76" s="8"/>
      <c r="P76" s="7"/>
    </row>
    <row r="77" spans="1:16">
      <c r="A77" s="6" t="s">
        <v>143</v>
      </c>
      <c r="B77" s="6" t="s">
        <v>150</v>
      </c>
      <c r="C77" s="6" t="s">
        <v>97</v>
      </c>
      <c r="D77" s="6">
        <v>193</v>
      </c>
      <c r="E77" s="6">
        <v>257</v>
      </c>
      <c r="F77" s="6">
        <v>157</v>
      </c>
      <c r="G77" s="6">
        <v>174</v>
      </c>
      <c r="H77" s="6">
        <v>184</v>
      </c>
      <c r="I77" s="6">
        <v>203</v>
      </c>
      <c r="J77" s="3">
        <f t="shared" si="1"/>
        <v>1168</v>
      </c>
      <c r="L77" s="6" t="s">
        <v>6</v>
      </c>
      <c r="M77" s="7">
        <f>SUM(G74:G81)</f>
        <v>897</v>
      </c>
      <c r="O77" s="8"/>
      <c r="P77" s="7"/>
    </row>
    <row r="78" spans="1:16">
      <c r="A78" s="6" t="s">
        <v>143</v>
      </c>
      <c r="B78" s="6" t="s">
        <v>151</v>
      </c>
      <c r="C78" s="6" t="s">
        <v>152</v>
      </c>
      <c r="D78" s="6">
        <v>132</v>
      </c>
      <c r="E78" s="6">
        <v>180</v>
      </c>
      <c r="F78" s="6">
        <v>169</v>
      </c>
      <c r="G78" s="6">
        <v>188</v>
      </c>
      <c r="H78" s="6">
        <v>183</v>
      </c>
      <c r="I78" s="6">
        <v>171</v>
      </c>
      <c r="J78" s="3">
        <f t="shared" si="1"/>
        <v>1023</v>
      </c>
      <c r="L78" s="6" t="s">
        <v>7</v>
      </c>
      <c r="M78" s="7">
        <f>SUM(H74:H81)</f>
        <v>901</v>
      </c>
      <c r="O78" s="8"/>
      <c r="P78" s="7"/>
    </row>
    <row r="79" spans="1:16">
      <c r="A79" s="6" t="s">
        <v>143</v>
      </c>
      <c r="B79" s="6" t="s">
        <v>89</v>
      </c>
      <c r="C79" s="6" t="s">
        <v>153</v>
      </c>
      <c r="D79" s="6">
        <v>148</v>
      </c>
      <c r="E79" s="6">
        <v>187</v>
      </c>
      <c r="F79" s="6">
        <v>256</v>
      </c>
      <c r="G79" s="6">
        <v>168</v>
      </c>
      <c r="H79" s="6">
        <v>230</v>
      </c>
      <c r="I79" s="6">
        <v>185</v>
      </c>
      <c r="J79" s="3">
        <f t="shared" si="1"/>
        <v>1174</v>
      </c>
      <c r="L79" s="6" t="s">
        <v>8</v>
      </c>
      <c r="M79" s="7">
        <f>SUM(I74:I81)</f>
        <v>933</v>
      </c>
      <c r="O79" s="8"/>
      <c r="P79" s="7"/>
    </row>
    <row r="80" spans="1:16">
      <c r="A80" s="6" t="s">
        <v>143</v>
      </c>
      <c r="B80" s="6"/>
      <c r="C80" s="6"/>
      <c r="D80" s="6"/>
      <c r="E80" s="6"/>
      <c r="F80" s="6"/>
      <c r="G80" s="6"/>
      <c r="H80" s="6"/>
      <c r="I80" s="6"/>
      <c r="J80" s="3">
        <f t="shared" si="1"/>
        <v>0</v>
      </c>
      <c r="L80" s="6"/>
      <c r="M80" s="7"/>
      <c r="O80" s="8"/>
      <c r="P80" s="7"/>
    </row>
    <row r="81" spans="1:16">
      <c r="A81" s="6" t="s">
        <v>143</v>
      </c>
      <c r="B81" s="6"/>
      <c r="C81" s="6"/>
      <c r="D81" s="6"/>
      <c r="E81" s="6"/>
      <c r="F81" s="6"/>
      <c r="G81" s="6"/>
      <c r="H81" s="6"/>
      <c r="I81" s="6"/>
      <c r="J81" s="3">
        <f t="shared" si="1"/>
        <v>0</v>
      </c>
      <c r="L81" s="6"/>
      <c r="M81" s="7"/>
      <c r="O81" s="8"/>
      <c r="P81" s="7"/>
    </row>
    <row r="82" spans="1:16">
      <c r="A82" s="2" t="s">
        <v>154</v>
      </c>
      <c r="B82" s="2" t="s">
        <v>116</v>
      </c>
      <c r="C82" s="2" t="s">
        <v>155</v>
      </c>
      <c r="D82" s="2">
        <v>163</v>
      </c>
      <c r="E82" s="2"/>
      <c r="F82" s="2"/>
      <c r="G82" s="2"/>
      <c r="H82" s="2"/>
      <c r="I82" s="2"/>
      <c r="J82" s="3">
        <f t="shared" si="1"/>
        <v>163</v>
      </c>
      <c r="L82" s="2" t="s">
        <v>3</v>
      </c>
      <c r="M82" s="3">
        <f>SUM(D82:D89)</f>
        <v>911</v>
      </c>
      <c r="O82" s="4" t="str">
        <f>A82</f>
        <v>West Texas A&amp;M</v>
      </c>
      <c r="P82" s="3">
        <f>SUM(M82:M87)</f>
        <v>5723</v>
      </c>
    </row>
    <row r="83" spans="1:16">
      <c r="A83" s="2" t="s">
        <v>154</v>
      </c>
      <c r="B83" s="2" t="s">
        <v>28</v>
      </c>
      <c r="C83" s="2" t="s">
        <v>156</v>
      </c>
      <c r="D83" s="2"/>
      <c r="E83" s="2"/>
      <c r="F83" s="2">
        <v>149</v>
      </c>
      <c r="G83" s="2">
        <v>215</v>
      </c>
      <c r="H83" s="2">
        <v>171</v>
      </c>
      <c r="I83" s="2">
        <v>195</v>
      </c>
      <c r="J83" s="3">
        <f t="shared" si="1"/>
        <v>730</v>
      </c>
      <c r="L83" s="2" t="s">
        <v>4</v>
      </c>
      <c r="M83" s="3">
        <f>SUM(E82:E89)</f>
        <v>824</v>
      </c>
      <c r="O83" s="4"/>
      <c r="P83" s="3"/>
    </row>
    <row r="84" spans="1:16">
      <c r="A84" s="2" t="s">
        <v>154</v>
      </c>
      <c r="B84" s="2" t="s">
        <v>157</v>
      </c>
      <c r="C84" s="2" t="s">
        <v>158</v>
      </c>
      <c r="D84" s="2">
        <v>125</v>
      </c>
      <c r="E84" s="2"/>
      <c r="F84" s="2"/>
      <c r="G84" s="2"/>
      <c r="H84" s="2"/>
      <c r="I84" s="2"/>
      <c r="J84" s="3">
        <f t="shared" si="1"/>
        <v>125</v>
      </c>
      <c r="L84" s="2" t="s">
        <v>5</v>
      </c>
      <c r="M84" s="3">
        <f>SUM(F82:F89)</f>
        <v>962</v>
      </c>
      <c r="O84" s="4"/>
      <c r="P84" s="3"/>
    </row>
    <row r="85" spans="1:16">
      <c r="A85" s="2" t="s">
        <v>154</v>
      </c>
      <c r="B85" s="2" t="s">
        <v>159</v>
      </c>
      <c r="C85" s="2" t="s">
        <v>160</v>
      </c>
      <c r="D85" s="2"/>
      <c r="E85" s="2">
        <v>142</v>
      </c>
      <c r="F85" s="2"/>
      <c r="G85" s="2"/>
      <c r="H85" s="2"/>
      <c r="I85" s="2"/>
      <c r="J85" s="3">
        <f t="shared" si="1"/>
        <v>142</v>
      </c>
      <c r="L85" s="2" t="s">
        <v>6</v>
      </c>
      <c r="M85" s="3">
        <f>SUM(G82:G89)</f>
        <v>1014</v>
      </c>
      <c r="O85" s="4"/>
      <c r="P85" s="3"/>
    </row>
    <row r="86" spans="1:16">
      <c r="A86" s="2" t="s">
        <v>154</v>
      </c>
      <c r="B86" s="2" t="s">
        <v>161</v>
      </c>
      <c r="C86" s="2" t="s">
        <v>162</v>
      </c>
      <c r="D86" s="2">
        <v>183</v>
      </c>
      <c r="E86" s="2">
        <v>178</v>
      </c>
      <c r="F86" s="2">
        <v>220</v>
      </c>
      <c r="G86" s="2">
        <v>209</v>
      </c>
      <c r="H86" s="2">
        <v>185</v>
      </c>
      <c r="I86" s="2">
        <v>187</v>
      </c>
      <c r="J86" s="3">
        <f t="shared" si="1"/>
        <v>1162</v>
      </c>
      <c r="L86" s="2" t="s">
        <v>7</v>
      </c>
      <c r="M86" s="3">
        <f>SUM(H82:H89)</f>
        <v>971</v>
      </c>
      <c r="O86" s="4"/>
      <c r="P86" s="3"/>
    </row>
    <row r="87" spans="1:16">
      <c r="A87" s="2" t="s">
        <v>154</v>
      </c>
      <c r="B87" s="2" t="s">
        <v>23</v>
      </c>
      <c r="C87" s="2" t="s">
        <v>163</v>
      </c>
      <c r="D87" s="2">
        <v>235</v>
      </c>
      <c r="E87" s="2">
        <v>148</v>
      </c>
      <c r="F87" s="2">
        <v>161</v>
      </c>
      <c r="G87" s="2">
        <v>184</v>
      </c>
      <c r="H87" s="2">
        <v>180</v>
      </c>
      <c r="I87" s="2">
        <v>219</v>
      </c>
      <c r="J87" s="3">
        <f t="shared" si="1"/>
        <v>1127</v>
      </c>
      <c r="L87" s="2" t="s">
        <v>8</v>
      </c>
      <c r="M87" s="3">
        <f>SUM(I82:I89)</f>
        <v>1041</v>
      </c>
      <c r="O87" s="4"/>
      <c r="P87" s="3"/>
    </row>
    <row r="88" spans="1:16">
      <c r="A88" s="2" t="s">
        <v>154</v>
      </c>
      <c r="B88" s="2" t="s">
        <v>164</v>
      </c>
      <c r="C88" s="2" t="s">
        <v>165</v>
      </c>
      <c r="D88" s="2"/>
      <c r="E88" s="2">
        <v>209</v>
      </c>
      <c r="F88" s="2">
        <v>222</v>
      </c>
      <c r="G88" s="2">
        <v>226</v>
      </c>
      <c r="H88" s="2">
        <v>211</v>
      </c>
      <c r="I88" s="2">
        <v>265</v>
      </c>
      <c r="J88" s="3">
        <f t="shared" si="1"/>
        <v>1133</v>
      </c>
      <c r="L88" s="3"/>
      <c r="M88" s="3"/>
      <c r="O88" s="4"/>
      <c r="P88" s="3"/>
    </row>
    <row r="89" spans="1:16">
      <c r="A89" s="2" t="s">
        <v>154</v>
      </c>
      <c r="B89" s="2" t="s">
        <v>59</v>
      </c>
      <c r="C89" s="2" t="s">
        <v>166</v>
      </c>
      <c r="D89" s="2">
        <v>205</v>
      </c>
      <c r="E89" s="2">
        <v>147</v>
      </c>
      <c r="F89" s="2">
        <v>210</v>
      </c>
      <c r="G89" s="2">
        <v>180</v>
      </c>
      <c r="H89" s="2">
        <v>224</v>
      </c>
      <c r="I89" s="2">
        <v>175</v>
      </c>
      <c r="J89" s="3">
        <f t="shared" si="1"/>
        <v>1141</v>
      </c>
      <c r="L89" s="2"/>
      <c r="M89" s="3"/>
      <c r="O89" s="4"/>
      <c r="P89" s="3"/>
    </row>
    <row r="90" spans="1:16">
      <c r="A90" s="6" t="s">
        <v>167</v>
      </c>
      <c r="B90" s="6" t="s">
        <v>168</v>
      </c>
      <c r="C90" s="6" t="s">
        <v>169</v>
      </c>
      <c r="D90" s="6">
        <v>158</v>
      </c>
      <c r="E90" s="6">
        <v>130</v>
      </c>
      <c r="F90" s="6"/>
      <c r="G90" s="6"/>
      <c r="H90" s="6">
        <v>223</v>
      </c>
      <c r="I90" s="6">
        <v>184</v>
      </c>
      <c r="J90" s="3">
        <f t="shared" si="1"/>
        <v>695</v>
      </c>
      <c r="L90" s="6" t="s">
        <v>3</v>
      </c>
      <c r="M90" s="7">
        <f>SUM(D90:D97)</f>
        <v>882</v>
      </c>
      <c r="O90" s="8" t="str">
        <f>A90</f>
        <v>Wright State</v>
      </c>
      <c r="P90" s="7">
        <f>SUM(M90:M95)</f>
        <v>5478</v>
      </c>
    </row>
    <row r="91" spans="1:16">
      <c r="A91" s="6" t="s">
        <v>167</v>
      </c>
      <c r="B91" s="6" t="s">
        <v>170</v>
      </c>
      <c r="C91" s="6" t="s">
        <v>171</v>
      </c>
      <c r="D91" s="6"/>
      <c r="E91" s="6">
        <v>163</v>
      </c>
      <c r="F91" s="6">
        <v>167</v>
      </c>
      <c r="G91" s="6">
        <v>169</v>
      </c>
      <c r="H91" s="6">
        <v>180</v>
      </c>
      <c r="I91" s="6">
        <v>175</v>
      </c>
      <c r="J91" s="3">
        <f t="shared" si="1"/>
        <v>854</v>
      </c>
      <c r="L91" s="6" t="s">
        <v>4</v>
      </c>
      <c r="M91" s="7">
        <f>SUM(E90:E97)</f>
        <v>790</v>
      </c>
      <c r="O91" s="8"/>
      <c r="P91" s="7"/>
    </row>
    <row r="92" spans="1:16">
      <c r="A92" s="6" t="s">
        <v>167</v>
      </c>
      <c r="B92" s="6" t="s">
        <v>172</v>
      </c>
      <c r="C92" s="6" t="s">
        <v>173</v>
      </c>
      <c r="D92" s="6"/>
      <c r="E92" s="6"/>
      <c r="F92" s="6"/>
      <c r="G92" s="6"/>
      <c r="H92" s="6"/>
      <c r="I92" s="6"/>
      <c r="J92" s="3">
        <f t="shared" si="1"/>
        <v>0</v>
      </c>
      <c r="L92" s="6" t="s">
        <v>5</v>
      </c>
      <c r="M92" s="7">
        <f>SUM(F90:F97)</f>
        <v>855</v>
      </c>
      <c r="O92" s="8"/>
      <c r="P92" s="7"/>
    </row>
    <row r="93" spans="1:16">
      <c r="A93" s="6" t="s">
        <v>167</v>
      </c>
      <c r="B93" s="6" t="s">
        <v>174</v>
      </c>
      <c r="C93" s="6" t="s">
        <v>175</v>
      </c>
      <c r="D93" s="6">
        <v>266</v>
      </c>
      <c r="E93" s="6">
        <v>135</v>
      </c>
      <c r="F93" s="6">
        <v>175</v>
      </c>
      <c r="G93" s="6">
        <v>256</v>
      </c>
      <c r="H93" s="6">
        <v>215</v>
      </c>
      <c r="I93" s="6">
        <v>186</v>
      </c>
      <c r="J93" s="3">
        <f t="shared" si="1"/>
        <v>1233</v>
      </c>
      <c r="L93" s="6" t="s">
        <v>6</v>
      </c>
      <c r="M93" s="7">
        <f>SUM(G90:G97)</f>
        <v>921</v>
      </c>
      <c r="O93" s="8"/>
      <c r="P93" s="7"/>
    </row>
    <row r="94" spans="1:16">
      <c r="A94" s="6" t="s">
        <v>167</v>
      </c>
      <c r="B94" s="6" t="s">
        <v>28</v>
      </c>
      <c r="C94" s="6" t="s">
        <v>176</v>
      </c>
      <c r="D94" s="6">
        <v>155</v>
      </c>
      <c r="E94" s="6"/>
      <c r="F94" s="6"/>
      <c r="G94" s="6"/>
      <c r="H94" s="6"/>
      <c r="I94" s="6"/>
      <c r="J94" s="3">
        <f t="shared" si="1"/>
        <v>155</v>
      </c>
      <c r="L94" s="6" t="s">
        <v>7</v>
      </c>
      <c r="M94" s="7">
        <f>SUM(H90:H97)</f>
        <v>1090</v>
      </c>
      <c r="O94" s="8"/>
      <c r="P94" s="7"/>
    </row>
    <row r="95" spans="1:16">
      <c r="A95" s="6" t="s">
        <v>167</v>
      </c>
      <c r="B95" s="6" t="s">
        <v>28</v>
      </c>
      <c r="C95" s="6" t="s">
        <v>177</v>
      </c>
      <c r="D95" s="6"/>
      <c r="E95" s="6">
        <v>181</v>
      </c>
      <c r="F95" s="6">
        <v>160</v>
      </c>
      <c r="G95" s="6">
        <v>211</v>
      </c>
      <c r="H95" s="6">
        <v>257</v>
      </c>
      <c r="I95" s="6">
        <v>215</v>
      </c>
      <c r="J95" s="3">
        <f t="shared" si="1"/>
        <v>1024</v>
      </c>
      <c r="L95" s="6" t="s">
        <v>8</v>
      </c>
      <c r="M95" s="7">
        <f>SUM(I90:I97)</f>
        <v>940</v>
      </c>
      <c r="O95" s="8"/>
      <c r="P95" s="7"/>
    </row>
    <row r="96" spans="1:16">
      <c r="A96" s="6" t="s">
        <v>167</v>
      </c>
      <c r="B96" s="6" t="s">
        <v>30</v>
      </c>
      <c r="C96" s="6" t="s">
        <v>178</v>
      </c>
      <c r="D96" s="6">
        <v>133</v>
      </c>
      <c r="E96" s="6"/>
      <c r="F96" s="6">
        <v>174</v>
      </c>
      <c r="G96" s="6">
        <v>147</v>
      </c>
      <c r="H96" s="6"/>
      <c r="I96" s="6"/>
      <c r="J96" s="3">
        <f t="shared" si="1"/>
        <v>454</v>
      </c>
      <c r="L96" s="6"/>
      <c r="M96" s="7"/>
      <c r="O96" s="8"/>
      <c r="P96" s="7"/>
    </row>
    <row r="97" spans="1:16">
      <c r="A97" s="6" t="s">
        <v>167</v>
      </c>
      <c r="B97" s="6" t="s">
        <v>36</v>
      </c>
      <c r="C97" s="6" t="s">
        <v>179</v>
      </c>
      <c r="D97" s="6">
        <v>170</v>
      </c>
      <c r="E97" s="6">
        <v>181</v>
      </c>
      <c r="F97" s="6">
        <v>179</v>
      </c>
      <c r="G97" s="6">
        <v>138</v>
      </c>
      <c r="H97" s="6">
        <v>215</v>
      </c>
      <c r="I97" s="6">
        <v>180</v>
      </c>
      <c r="J97" s="3">
        <f t="shared" si="1"/>
        <v>1063</v>
      </c>
      <c r="L97" s="6"/>
      <c r="M97" s="7"/>
      <c r="O97" s="8"/>
      <c r="P97" s="7"/>
    </row>
    <row r="98" spans="1:16">
      <c r="A98" s="2" t="s">
        <v>180</v>
      </c>
      <c r="B98" s="2" t="s">
        <v>170</v>
      </c>
      <c r="C98" s="2" t="s">
        <v>181</v>
      </c>
      <c r="D98" s="2">
        <v>135</v>
      </c>
      <c r="E98" s="2"/>
      <c r="F98" s="2"/>
      <c r="G98" s="2"/>
      <c r="H98" s="2"/>
      <c r="I98" s="2">
        <v>233</v>
      </c>
      <c r="J98" s="3">
        <f t="shared" si="1"/>
        <v>368</v>
      </c>
      <c r="L98" s="2" t="s">
        <v>3</v>
      </c>
      <c r="M98" s="3">
        <f>SUM(D98:D105)</f>
        <v>948</v>
      </c>
      <c r="O98" s="4" t="str">
        <f>A98</f>
        <v>Indiana Tech</v>
      </c>
      <c r="P98" s="3">
        <f>SUM(M98:M103)</f>
        <v>5647</v>
      </c>
    </row>
    <row r="99" spans="1:16">
      <c r="A99" s="2" t="s">
        <v>180</v>
      </c>
      <c r="B99" s="2" t="s">
        <v>182</v>
      </c>
      <c r="C99" s="2" t="s">
        <v>183</v>
      </c>
      <c r="D99" s="2">
        <v>183</v>
      </c>
      <c r="E99" s="2">
        <v>204</v>
      </c>
      <c r="F99" s="2">
        <v>185</v>
      </c>
      <c r="G99" s="2">
        <v>183</v>
      </c>
      <c r="H99" s="2">
        <v>204</v>
      </c>
      <c r="I99" s="2"/>
      <c r="J99" s="3">
        <f t="shared" si="1"/>
        <v>959</v>
      </c>
      <c r="L99" s="2" t="s">
        <v>4</v>
      </c>
      <c r="M99" s="3">
        <f>SUM(E98:E105)</f>
        <v>952</v>
      </c>
      <c r="O99" s="4"/>
      <c r="P99" s="3"/>
    </row>
    <row r="100" spans="1:16">
      <c r="A100" s="2" t="s">
        <v>180</v>
      </c>
      <c r="B100" s="2" t="s">
        <v>89</v>
      </c>
      <c r="C100" s="2" t="s">
        <v>184</v>
      </c>
      <c r="D100" s="2">
        <v>194</v>
      </c>
      <c r="E100" s="2">
        <v>190</v>
      </c>
      <c r="F100" s="2">
        <v>125</v>
      </c>
      <c r="G100" s="2">
        <v>177</v>
      </c>
      <c r="H100" s="2">
        <v>203</v>
      </c>
      <c r="I100" s="2">
        <v>247</v>
      </c>
      <c r="J100" s="3">
        <f t="shared" si="1"/>
        <v>1136</v>
      </c>
      <c r="L100" s="2" t="s">
        <v>5</v>
      </c>
      <c r="M100" s="3">
        <f>SUM(F98:F105)</f>
        <v>797</v>
      </c>
      <c r="O100" s="4"/>
      <c r="P100" s="3"/>
    </row>
    <row r="101" spans="1:16">
      <c r="A101" s="2" t="s">
        <v>180</v>
      </c>
      <c r="B101" s="2" t="s">
        <v>38</v>
      </c>
      <c r="C101" s="2" t="s">
        <v>183</v>
      </c>
      <c r="D101" s="2">
        <v>213</v>
      </c>
      <c r="E101" s="2">
        <v>191</v>
      </c>
      <c r="F101" s="2">
        <v>159</v>
      </c>
      <c r="G101" s="2">
        <v>206</v>
      </c>
      <c r="H101" s="2">
        <v>212</v>
      </c>
      <c r="I101" s="2">
        <v>223</v>
      </c>
      <c r="J101" s="3">
        <f t="shared" si="1"/>
        <v>1204</v>
      </c>
      <c r="L101" s="2" t="s">
        <v>6</v>
      </c>
      <c r="M101" s="3">
        <f>SUM(G98:G105)</f>
        <v>935</v>
      </c>
      <c r="O101" s="4"/>
      <c r="P101" s="3"/>
    </row>
    <row r="102" spans="1:16">
      <c r="A102" s="2" t="s">
        <v>180</v>
      </c>
      <c r="B102" s="2" t="s">
        <v>185</v>
      </c>
      <c r="C102" s="2" t="s">
        <v>186</v>
      </c>
      <c r="D102" s="2"/>
      <c r="E102" s="2"/>
      <c r="F102" s="2"/>
      <c r="G102" s="2">
        <v>135</v>
      </c>
      <c r="H102" s="2"/>
      <c r="I102" s="2">
        <v>180</v>
      </c>
      <c r="J102" s="3">
        <f t="shared" si="1"/>
        <v>315</v>
      </c>
      <c r="L102" s="2" t="s">
        <v>7</v>
      </c>
      <c r="M102" s="3">
        <f>SUM(H98:H105)</f>
        <v>951</v>
      </c>
      <c r="O102" s="4"/>
      <c r="P102" s="3"/>
    </row>
    <row r="103" spans="1:16">
      <c r="A103" s="2" t="s">
        <v>180</v>
      </c>
      <c r="B103" s="2" t="s">
        <v>187</v>
      </c>
      <c r="C103" s="2" t="s">
        <v>48</v>
      </c>
      <c r="D103" s="2">
        <v>223</v>
      </c>
      <c r="E103" s="2">
        <v>161</v>
      </c>
      <c r="F103" s="2">
        <v>159</v>
      </c>
      <c r="G103" s="2"/>
      <c r="H103" s="2">
        <v>160</v>
      </c>
      <c r="I103" s="2"/>
      <c r="J103" s="3">
        <f t="shared" si="1"/>
        <v>703</v>
      </c>
      <c r="L103" s="2" t="s">
        <v>8</v>
      </c>
      <c r="M103" s="3">
        <f>SUM(I98:I105)</f>
        <v>1064</v>
      </c>
      <c r="O103" s="4"/>
      <c r="P103" s="3"/>
    </row>
    <row r="104" spans="1:16">
      <c r="A104" s="2" t="s">
        <v>180</v>
      </c>
      <c r="B104" s="2" t="s">
        <v>59</v>
      </c>
      <c r="C104" s="2" t="s">
        <v>188</v>
      </c>
      <c r="D104" s="2"/>
      <c r="E104" s="2">
        <v>206</v>
      </c>
      <c r="F104" s="2">
        <v>169</v>
      </c>
      <c r="G104" s="2"/>
      <c r="H104" s="2"/>
      <c r="I104" s="2">
        <v>181</v>
      </c>
      <c r="J104" s="3">
        <f t="shared" si="1"/>
        <v>556</v>
      </c>
      <c r="L104" s="3"/>
      <c r="M104" s="3"/>
      <c r="O104" s="4"/>
      <c r="P104" s="3"/>
    </row>
    <row r="105" spans="1:16">
      <c r="A105" s="2" t="s">
        <v>180</v>
      </c>
      <c r="B105" s="2" t="s">
        <v>59</v>
      </c>
      <c r="C105" s="2" t="s">
        <v>189</v>
      </c>
      <c r="D105" s="2"/>
      <c r="E105" s="2"/>
      <c r="F105" s="2"/>
      <c r="G105" s="2">
        <v>234</v>
      </c>
      <c r="H105" s="2">
        <v>172</v>
      </c>
      <c r="I105" s="2"/>
      <c r="J105" s="3">
        <f t="shared" si="1"/>
        <v>406</v>
      </c>
      <c r="L105" s="2"/>
      <c r="M105" s="3"/>
      <c r="O105" s="4"/>
      <c r="P105" s="3"/>
    </row>
    <row r="106" spans="1:16">
      <c r="A106" s="6" t="s">
        <v>190</v>
      </c>
      <c r="B106" s="6" t="s">
        <v>191</v>
      </c>
      <c r="C106" s="6" t="s">
        <v>192</v>
      </c>
      <c r="D106" s="6">
        <v>180</v>
      </c>
      <c r="E106" s="6">
        <v>183</v>
      </c>
      <c r="F106" s="6">
        <v>197</v>
      </c>
      <c r="G106" s="6">
        <v>157</v>
      </c>
      <c r="H106" s="6">
        <v>186</v>
      </c>
      <c r="I106" s="6">
        <v>157</v>
      </c>
      <c r="J106" s="3">
        <f t="shared" si="1"/>
        <v>1060</v>
      </c>
      <c r="L106" s="6" t="s">
        <v>3</v>
      </c>
      <c r="M106" s="7">
        <f>SUM(D106:D113)</f>
        <v>819</v>
      </c>
      <c r="O106" s="8" t="str">
        <f>A106</f>
        <v>Wisconsin - Oshkosh</v>
      </c>
      <c r="P106" s="7">
        <f>SUM(M106:M111)</f>
        <v>4834</v>
      </c>
    </row>
    <row r="107" spans="1:16">
      <c r="A107" s="6" t="s">
        <v>190</v>
      </c>
      <c r="B107" s="6" t="s">
        <v>193</v>
      </c>
      <c r="C107" s="6" t="s">
        <v>194</v>
      </c>
      <c r="D107" s="6">
        <v>152</v>
      </c>
      <c r="E107" s="6">
        <v>123</v>
      </c>
      <c r="F107" s="6">
        <v>192</v>
      </c>
      <c r="G107" s="6">
        <v>178</v>
      </c>
      <c r="H107" s="6">
        <v>178</v>
      </c>
      <c r="I107" s="6">
        <v>121</v>
      </c>
      <c r="J107" s="3">
        <f t="shared" si="1"/>
        <v>944</v>
      </c>
      <c r="L107" s="6" t="s">
        <v>4</v>
      </c>
      <c r="M107" s="7">
        <f>SUM(E106:E113)</f>
        <v>733</v>
      </c>
      <c r="O107" s="8"/>
      <c r="P107" s="7"/>
    </row>
    <row r="108" spans="1:16">
      <c r="A108" s="6" t="s">
        <v>190</v>
      </c>
      <c r="B108" s="6" t="s">
        <v>195</v>
      </c>
      <c r="C108" s="6" t="s">
        <v>196</v>
      </c>
      <c r="D108" s="6">
        <v>173</v>
      </c>
      <c r="E108" s="6">
        <v>120</v>
      </c>
      <c r="F108" s="6"/>
      <c r="G108" s="6"/>
      <c r="H108" s="6">
        <v>140</v>
      </c>
      <c r="I108" s="6"/>
      <c r="J108" s="3">
        <f t="shared" si="1"/>
        <v>433</v>
      </c>
      <c r="L108" s="6" t="s">
        <v>5</v>
      </c>
      <c r="M108" s="7">
        <f>SUM(F106:F113)</f>
        <v>903</v>
      </c>
      <c r="O108" s="8"/>
      <c r="P108" s="7"/>
    </row>
    <row r="109" spans="1:16">
      <c r="A109" s="6" t="s">
        <v>190</v>
      </c>
      <c r="B109" s="6" t="s">
        <v>197</v>
      </c>
      <c r="C109" s="6" t="s">
        <v>198</v>
      </c>
      <c r="D109" s="6"/>
      <c r="E109" s="6"/>
      <c r="F109" s="6">
        <v>144</v>
      </c>
      <c r="G109" s="6">
        <v>127</v>
      </c>
      <c r="H109" s="6"/>
      <c r="I109" s="6">
        <v>153</v>
      </c>
      <c r="J109" s="3">
        <f t="shared" si="1"/>
        <v>424</v>
      </c>
      <c r="L109" s="6" t="s">
        <v>6</v>
      </c>
      <c r="M109" s="7">
        <f>SUM(G106:G113)</f>
        <v>826</v>
      </c>
      <c r="O109" s="8"/>
      <c r="P109" s="7"/>
    </row>
    <row r="110" spans="1:16">
      <c r="A110" s="6" t="s">
        <v>190</v>
      </c>
      <c r="B110" s="6" t="s">
        <v>199</v>
      </c>
      <c r="C110" s="6" t="s">
        <v>200</v>
      </c>
      <c r="D110" s="6">
        <v>173</v>
      </c>
      <c r="E110" s="6">
        <v>148</v>
      </c>
      <c r="F110" s="6">
        <v>201</v>
      </c>
      <c r="G110" s="6">
        <v>174</v>
      </c>
      <c r="H110" s="6">
        <v>126</v>
      </c>
      <c r="I110" s="6">
        <v>164</v>
      </c>
      <c r="J110" s="3">
        <f t="shared" si="1"/>
        <v>986</v>
      </c>
      <c r="L110" s="6" t="s">
        <v>7</v>
      </c>
      <c r="M110" s="7">
        <f>SUM(H106:H113)</f>
        <v>809</v>
      </c>
      <c r="O110" s="8"/>
      <c r="P110" s="7"/>
    </row>
    <row r="111" spans="1:16">
      <c r="A111" s="6" t="s">
        <v>190</v>
      </c>
      <c r="B111" s="6" t="s">
        <v>201</v>
      </c>
      <c r="C111" s="6" t="s">
        <v>202</v>
      </c>
      <c r="D111" s="6"/>
      <c r="E111" s="6"/>
      <c r="F111" s="6"/>
      <c r="G111" s="6"/>
      <c r="H111" s="6"/>
      <c r="I111" s="6"/>
      <c r="J111" s="3">
        <f t="shared" si="1"/>
        <v>0</v>
      </c>
      <c r="L111" s="6" t="s">
        <v>8</v>
      </c>
      <c r="M111" s="7">
        <f>SUM(I106:I113)</f>
        <v>744</v>
      </c>
      <c r="O111" s="8"/>
      <c r="P111" s="7"/>
    </row>
    <row r="112" spans="1:16">
      <c r="A112" s="6" t="s">
        <v>190</v>
      </c>
      <c r="B112" s="6" t="s">
        <v>92</v>
      </c>
      <c r="C112" s="6" t="s">
        <v>203</v>
      </c>
      <c r="D112" s="6"/>
      <c r="E112" s="6"/>
      <c r="F112" s="6"/>
      <c r="G112" s="6"/>
      <c r="H112" s="6"/>
      <c r="I112" s="6"/>
      <c r="J112" s="3">
        <f t="shared" si="1"/>
        <v>0</v>
      </c>
      <c r="L112" s="6"/>
      <c r="M112" s="7"/>
      <c r="O112" s="8"/>
      <c r="P112" s="7"/>
    </row>
    <row r="113" spans="1:16">
      <c r="A113" s="6" t="s">
        <v>190</v>
      </c>
      <c r="B113" s="6" t="s">
        <v>30</v>
      </c>
      <c r="C113" s="6" t="s">
        <v>204</v>
      </c>
      <c r="D113" s="6">
        <v>141</v>
      </c>
      <c r="E113" s="6">
        <v>159</v>
      </c>
      <c r="F113" s="6">
        <v>169</v>
      </c>
      <c r="G113" s="6">
        <v>190</v>
      </c>
      <c r="H113" s="6">
        <v>179</v>
      </c>
      <c r="I113" s="6">
        <v>149</v>
      </c>
      <c r="J113" s="3">
        <f t="shared" si="1"/>
        <v>987</v>
      </c>
      <c r="L113" s="6"/>
      <c r="M113" s="7"/>
      <c r="O113" s="8"/>
      <c r="P113" s="7"/>
    </row>
    <row r="114" spans="1:16">
      <c r="A114" s="2" t="s">
        <v>205</v>
      </c>
      <c r="B114" s="2" t="s">
        <v>206</v>
      </c>
      <c r="C114" s="2" t="s">
        <v>207</v>
      </c>
      <c r="D114" s="2">
        <v>179</v>
      </c>
      <c r="E114" s="2">
        <v>206</v>
      </c>
      <c r="F114" s="2">
        <v>192</v>
      </c>
      <c r="G114" s="2">
        <v>234</v>
      </c>
      <c r="H114" s="2">
        <v>174</v>
      </c>
      <c r="I114" s="2">
        <v>160</v>
      </c>
      <c r="J114" s="3">
        <f t="shared" si="1"/>
        <v>1145</v>
      </c>
      <c r="L114" s="2" t="s">
        <v>3</v>
      </c>
      <c r="M114" s="3">
        <f>SUM(D114:D121)</f>
        <v>881</v>
      </c>
      <c r="O114" s="4" t="str">
        <f>A114</f>
        <v>Urbana</v>
      </c>
      <c r="P114" s="3">
        <f>SUM(M114:M119)</f>
        <v>5724</v>
      </c>
    </row>
    <row r="115" spans="1:16">
      <c r="A115" s="2" t="s">
        <v>205</v>
      </c>
      <c r="B115" s="2" t="s">
        <v>208</v>
      </c>
      <c r="C115" s="2" t="s">
        <v>209</v>
      </c>
      <c r="D115" s="2">
        <v>202</v>
      </c>
      <c r="E115" s="2">
        <v>212</v>
      </c>
      <c r="F115" s="2">
        <v>216</v>
      </c>
      <c r="G115" s="2">
        <v>202</v>
      </c>
      <c r="H115" s="2">
        <v>172</v>
      </c>
      <c r="I115" s="2">
        <v>184</v>
      </c>
      <c r="J115" s="3">
        <f t="shared" si="1"/>
        <v>1188</v>
      </c>
      <c r="L115" s="2" t="s">
        <v>4</v>
      </c>
      <c r="M115" s="3">
        <f>SUM(E114:E121)</f>
        <v>1019</v>
      </c>
      <c r="O115" s="4"/>
      <c r="P115" s="3"/>
    </row>
    <row r="116" spans="1:16">
      <c r="A116" s="2" t="s">
        <v>205</v>
      </c>
      <c r="B116" s="2" t="s">
        <v>210</v>
      </c>
      <c r="C116" s="2" t="s">
        <v>211</v>
      </c>
      <c r="D116" s="2">
        <v>137</v>
      </c>
      <c r="E116" s="2">
        <v>193</v>
      </c>
      <c r="F116" s="2">
        <v>213</v>
      </c>
      <c r="G116" s="2">
        <v>194</v>
      </c>
      <c r="H116" s="2">
        <v>178</v>
      </c>
      <c r="I116" s="2"/>
      <c r="J116" s="3">
        <f t="shared" si="1"/>
        <v>915</v>
      </c>
      <c r="L116" s="2" t="s">
        <v>5</v>
      </c>
      <c r="M116" s="3">
        <f>SUM(F114:F121)</f>
        <v>959</v>
      </c>
      <c r="O116" s="4"/>
      <c r="P116" s="3"/>
    </row>
    <row r="117" spans="1:16">
      <c r="A117" s="2" t="s">
        <v>205</v>
      </c>
      <c r="B117" s="2" t="s">
        <v>212</v>
      </c>
      <c r="C117" s="2" t="s">
        <v>213</v>
      </c>
      <c r="D117" s="2"/>
      <c r="E117" s="2"/>
      <c r="F117" s="2"/>
      <c r="G117" s="2"/>
      <c r="H117" s="2"/>
      <c r="I117" s="2"/>
      <c r="J117" s="3">
        <f t="shared" si="1"/>
        <v>0</v>
      </c>
      <c r="L117" s="2" t="s">
        <v>6</v>
      </c>
      <c r="M117" s="3">
        <f>SUM(G114:G121)</f>
        <v>1036</v>
      </c>
      <c r="O117" s="4"/>
      <c r="P117" s="3"/>
    </row>
    <row r="118" spans="1:16">
      <c r="A118" s="2" t="s">
        <v>205</v>
      </c>
      <c r="B118" s="2" t="s">
        <v>214</v>
      </c>
      <c r="C118" s="2" t="s">
        <v>215</v>
      </c>
      <c r="D118" s="2">
        <v>234</v>
      </c>
      <c r="E118" s="2">
        <v>179</v>
      </c>
      <c r="F118" s="2">
        <v>171</v>
      </c>
      <c r="G118" s="2">
        <v>201</v>
      </c>
      <c r="H118" s="2">
        <v>185</v>
      </c>
      <c r="I118" s="2">
        <v>203</v>
      </c>
      <c r="J118" s="3">
        <f t="shared" si="1"/>
        <v>1173</v>
      </c>
      <c r="L118" s="2" t="s">
        <v>7</v>
      </c>
      <c r="M118" s="3">
        <f>SUM(H114:H121)</f>
        <v>933</v>
      </c>
      <c r="O118" s="4"/>
      <c r="P118" s="3"/>
    </row>
    <row r="119" spans="1:16">
      <c r="A119" s="2" t="s">
        <v>205</v>
      </c>
      <c r="B119" s="2" t="s">
        <v>89</v>
      </c>
      <c r="C119" s="2" t="s">
        <v>216</v>
      </c>
      <c r="D119" s="2">
        <v>129</v>
      </c>
      <c r="E119" s="2"/>
      <c r="F119" s="2"/>
      <c r="G119" s="2">
        <v>205</v>
      </c>
      <c r="H119" s="2">
        <v>224</v>
      </c>
      <c r="I119" s="2">
        <v>181</v>
      </c>
      <c r="J119" s="3">
        <f t="shared" si="1"/>
        <v>739</v>
      </c>
      <c r="L119" s="2" t="s">
        <v>8</v>
      </c>
      <c r="M119" s="3">
        <f>SUM(I114:I121)</f>
        <v>896</v>
      </c>
      <c r="O119" s="4"/>
      <c r="P119" s="3"/>
    </row>
    <row r="120" spans="1:16">
      <c r="A120" s="2" t="s">
        <v>205</v>
      </c>
      <c r="B120" s="2" t="s">
        <v>217</v>
      </c>
      <c r="C120" s="2" t="s">
        <v>218</v>
      </c>
      <c r="D120" s="2"/>
      <c r="E120" s="2">
        <v>229</v>
      </c>
      <c r="F120" s="2">
        <v>167</v>
      </c>
      <c r="G120" s="2"/>
      <c r="H120" s="2"/>
      <c r="I120" s="2"/>
      <c r="J120" s="3">
        <f t="shared" si="1"/>
        <v>396</v>
      </c>
      <c r="L120" s="3"/>
      <c r="M120" s="3"/>
      <c r="O120" s="4"/>
      <c r="P120" s="3"/>
    </row>
    <row r="121" spans="1:16">
      <c r="A121" s="2" t="s">
        <v>205</v>
      </c>
      <c r="B121" s="2" t="s">
        <v>219</v>
      </c>
      <c r="C121" s="2" t="s">
        <v>209</v>
      </c>
      <c r="D121" s="2"/>
      <c r="E121" s="2"/>
      <c r="F121" s="2"/>
      <c r="G121" s="2"/>
      <c r="H121" s="2"/>
      <c r="I121" s="2">
        <v>168</v>
      </c>
      <c r="J121" s="3">
        <f t="shared" si="1"/>
        <v>168</v>
      </c>
      <c r="L121" s="2"/>
      <c r="M121" s="3"/>
      <c r="O121" s="4"/>
      <c r="P121" s="3"/>
    </row>
    <row r="122" spans="1:16">
      <c r="A122" s="6" t="s">
        <v>220</v>
      </c>
      <c r="B122" s="6" t="s">
        <v>23</v>
      </c>
      <c r="C122" s="6" t="s">
        <v>221</v>
      </c>
      <c r="D122" s="6">
        <v>157</v>
      </c>
      <c r="E122" s="6">
        <v>172</v>
      </c>
      <c r="F122" s="6">
        <v>168</v>
      </c>
      <c r="G122" s="6">
        <v>127</v>
      </c>
      <c r="H122" s="6"/>
      <c r="I122" s="6"/>
      <c r="J122" s="3">
        <f t="shared" si="1"/>
        <v>624</v>
      </c>
      <c r="L122" s="6" t="s">
        <v>3</v>
      </c>
      <c r="M122" s="7">
        <f>SUM(D122:D129)</f>
        <v>905</v>
      </c>
      <c r="O122" s="8" t="str">
        <f>A122</f>
        <v>Vincennes</v>
      </c>
      <c r="P122" s="7">
        <f>SUM(M122:M127)</f>
        <v>5839</v>
      </c>
    </row>
    <row r="123" spans="1:16">
      <c r="A123" s="6" t="s">
        <v>220</v>
      </c>
      <c r="B123" s="6" t="s">
        <v>23</v>
      </c>
      <c r="C123" s="6" t="s">
        <v>222</v>
      </c>
      <c r="D123" s="6">
        <v>172</v>
      </c>
      <c r="E123" s="6">
        <v>202</v>
      </c>
      <c r="F123" s="6">
        <v>211</v>
      </c>
      <c r="G123" s="6">
        <v>200</v>
      </c>
      <c r="H123" s="6">
        <v>234</v>
      </c>
      <c r="I123" s="6">
        <v>223</v>
      </c>
      <c r="J123" s="3">
        <f t="shared" si="1"/>
        <v>1242</v>
      </c>
      <c r="L123" s="6" t="s">
        <v>4</v>
      </c>
      <c r="M123" s="7">
        <f>SUM(E122:E129)</f>
        <v>878</v>
      </c>
      <c r="O123" s="8"/>
      <c r="P123" s="7"/>
    </row>
    <row r="124" spans="1:16">
      <c r="A124" s="6" t="s">
        <v>220</v>
      </c>
      <c r="B124" s="6" t="s">
        <v>223</v>
      </c>
      <c r="C124" s="6" t="s">
        <v>224</v>
      </c>
      <c r="D124" s="6">
        <v>225</v>
      </c>
      <c r="E124" s="6">
        <v>175</v>
      </c>
      <c r="F124" s="6">
        <v>180</v>
      </c>
      <c r="G124" s="6">
        <v>151</v>
      </c>
      <c r="H124" s="6"/>
      <c r="I124" s="6"/>
      <c r="J124" s="3">
        <f t="shared" si="1"/>
        <v>731</v>
      </c>
      <c r="L124" s="6" t="s">
        <v>5</v>
      </c>
      <c r="M124" s="7">
        <f>SUM(F122:F129)</f>
        <v>950</v>
      </c>
      <c r="O124" s="8"/>
      <c r="P124" s="7"/>
    </row>
    <row r="125" spans="1:16">
      <c r="A125" s="6" t="s">
        <v>220</v>
      </c>
      <c r="B125" s="6" t="s">
        <v>92</v>
      </c>
      <c r="C125" s="6" t="s">
        <v>225</v>
      </c>
      <c r="D125" s="6"/>
      <c r="E125" s="6"/>
      <c r="F125" s="6"/>
      <c r="G125" s="6"/>
      <c r="H125" s="6">
        <v>254</v>
      </c>
      <c r="I125" s="6">
        <v>187</v>
      </c>
      <c r="J125" s="3">
        <f t="shared" si="1"/>
        <v>441</v>
      </c>
      <c r="L125" s="6" t="s">
        <v>6</v>
      </c>
      <c r="M125" s="7">
        <f>SUM(G122:G129)</f>
        <v>853</v>
      </c>
      <c r="O125" s="8"/>
      <c r="P125" s="7"/>
    </row>
    <row r="126" spans="1:16">
      <c r="A126" s="6" t="s">
        <v>220</v>
      </c>
      <c r="B126" s="6" t="s">
        <v>226</v>
      </c>
      <c r="C126" s="6" t="s">
        <v>227</v>
      </c>
      <c r="D126" s="6"/>
      <c r="E126" s="6"/>
      <c r="F126" s="6">
        <v>179</v>
      </c>
      <c r="G126" s="6">
        <v>169</v>
      </c>
      <c r="H126" s="6">
        <v>246</v>
      </c>
      <c r="I126" s="6">
        <v>189</v>
      </c>
      <c r="J126" s="3">
        <f t="shared" si="1"/>
        <v>783</v>
      </c>
      <c r="L126" s="6" t="s">
        <v>7</v>
      </c>
      <c r="M126" s="7">
        <f>SUM(H122:H129)</f>
        <v>1219</v>
      </c>
      <c r="O126" s="8"/>
      <c r="P126" s="7"/>
    </row>
    <row r="127" spans="1:16">
      <c r="A127" s="6" t="s">
        <v>220</v>
      </c>
      <c r="B127" s="6" t="s">
        <v>228</v>
      </c>
      <c r="C127" s="6" t="s">
        <v>229</v>
      </c>
      <c r="D127" s="6">
        <v>206</v>
      </c>
      <c r="E127" s="6">
        <v>165</v>
      </c>
      <c r="F127" s="6">
        <v>212</v>
      </c>
      <c r="G127" s="6">
        <v>206</v>
      </c>
      <c r="H127" s="6">
        <v>229</v>
      </c>
      <c r="I127" s="6">
        <v>192</v>
      </c>
      <c r="J127" s="3">
        <f t="shared" si="1"/>
        <v>1210</v>
      </c>
      <c r="L127" s="6" t="s">
        <v>8</v>
      </c>
      <c r="M127" s="7">
        <f>SUM(I122:I129)</f>
        <v>1034</v>
      </c>
      <c r="O127" s="8"/>
      <c r="P127" s="7"/>
    </row>
    <row r="128" spans="1:16">
      <c r="A128" s="6" t="s">
        <v>220</v>
      </c>
      <c r="B128" s="6" t="s">
        <v>59</v>
      </c>
      <c r="C128" s="6" t="s">
        <v>230</v>
      </c>
      <c r="D128" s="6">
        <v>145</v>
      </c>
      <c r="E128" s="6">
        <v>164</v>
      </c>
      <c r="F128" s="6"/>
      <c r="G128" s="6"/>
      <c r="H128" s="6">
        <v>256</v>
      </c>
      <c r="I128" s="6">
        <v>243</v>
      </c>
      <c r="J128" s="3">
        <f t="shared" si="1"/>
        <v>808</v>
      </c>
      <c r="L128" s="6"/>
      <c r="M128" s="7"/>
      <c r="O128" s="8"/>
      <c r="P128" s="7"/>
    </row>
    <row r="129" spans="1:16">
      <c r="A129" s="6" t="s">
        <v>220</v>
      </c>
      <c r="B129" s="6"/>
      <c r="C129" s="6"/>
      <c r="D129" s="6"/>
      <c r="E129" s="6"/>
      <c r="F129" s="6"/>
      <c r="G129" s="6"/>
      <c r="H129" s="6"/>
      <c r="I129" s="6"/>
      <c r="J129" s="3">
        <f t="shared" si="1"/>
        <v>0</v>
      </c>
      <c r="L129" s="6"/>
      <c r="M129" s="7"/>
      <c r="O129" s="8"/>
      <c r="P129" s="7"/>
    </row>
    <row r="130" spans="1:16">
      <c r="A130" s="2" t="s">
        <v>231</v>
      </c>
      <c r="B130" s="2" t="s">
        <v>232</v>
      </c>
      <c r="C130" s="2" t="s">
        <v>233</v>
      </c>
      <c r="D130" s="2"/>
      <c r="E130" s="2"/>
      <c r="F130" s="2"/>
      <c r="G130" s="2"/>
      <c r="H130" s="2"/>
      <c r="I130" s="2"/>
      <c r="J130" s="3">
        <f t="shared" si="1"/>
        <v>0</v>
      </c>
      <c r="L130" s="2" t="s">
        <v>3</v>
      </c>
      <c r="M130" s="3">
        <f>SUM(D130:D137)</f>
        <v>912</v>
      </c>
      <c r="O130" s="4" t="str">
        <f>A130</f>
        <v>Highland CC</v>
      </c>
      <c r="P130" s="3">
        <f>SUM(M130:M135)</f>
        <v>5902</v>
      </c>
    </row>
    <row r="131" spans="1:16">
      <c r="A131" s="2" t="s">
        <v>231</v>
      </c>
      <c r="B131" s="2" t="s">
        <v>234</v>
      </c>
      <c r="C131" s="2" t="s">
        <v>235</v>
      </c>
      <c r="D131" s="2">
        <v>150</v>
      </c>
      <c r="E131" s="2">
        <v>201</v>
      </c>
      <c r="F131" s="2">
        <v>191</v>
      </c>
      <c r="G131" s="2">
        <v>219</v>
      </c>
      <c r="H131" s="2">
        <v>188</v>
      </c>
      <c r="I131" s="2">
        <v>190</v>
      </c>
      <c r="J131" s="3">
        <f t="shared" ref="J131:J194" si="2">SUM(D131:I131)</f>
        <v>1139</v>
      </c>
      <c r="L131" s="2" t="s">
        <v>4</v>
      </c>
      <c r="M131" s="3">
        <f>SUM(E130:E137)</f>
        <v>944</v>
      </c>
      <c r="O131" s="4"/>
      <c r="P131" s="3"/>
    </row>
    <row r="132" spans="1:16">
      <c r="A132" s="2" t="s">
        <v>231</v>
      </c>
      <c r="B132" s="2" t="s">
        <v>236</v>
      </c>
      <c r="C132" s="2" t="s">
        <v>237</v>
      </c>
      <c r="D132" s="2"/>
      <c r="E132" s="2"/>
      <c r="F132" s="2"/>
      <c r="G132" s="2"/>
      <c r="H132" s="2"/>
      <c r="I132" s="2">
        <v>235</v>
      </c>
      <c r="J132" s="3">
        <f t="shared" si="2"/>
        <v>235</v>
      </c>
      <c r="L132" s="2" t="s">
        <v>5</v>
      </c>
      <c r="M132" s="3">
        <f>SUM(F130:F137)</f>
        <v>926</v>
      </c>
      <c r="O132" s="4"/>
      <c r="P132" s="3"/>
    </row>
    <row r="133" spans="1:16">
      <c r="A133" s="2" t="s">
        <v>231</v>
      </c>
      <c r="B133" s="2" t="s">
        <v>130</v>
      </c>
      <c r="C133" s="2" t="s">
        <v>238</v>
      </c>
      <c r="D133" s="2">
        <v>239</v>
      </c>
      <c r="E133" s="2">
        <v>200</v>
      </c>
      <c r="F133" s="2">
        <v>205</v>
      </c>
      <c r="G133" s="2">
        <v>183</v>
      </c>
      <c r="H133" s="2">
        <v>236</v>
      </c>
      <c r="I133" s="2">
        <v>184</v>
      </c>
      <c r="J133" s="3">
        <f t="shared" si="2"/>
        <v>1247</v>
      </c>
      <c r="L133" s="2" t="s">
        <v>6</v>
      </c>
      <c r="M133" s="3">
        <f>SUM(G130:G137)</f>
        <v>1002</v>
      </c>
      <c r="O133" s="4"/>
      <c r="P133" s="3"/>
    </row>
    <row r="134" spans="1:16">
      <c r="A134" s="2" t="s">
        <v>231</v>
      </c>
      <c r="B134" s="2" t="s">
        <v>239</v>
      </c>
      <c r="C134" s="2" t="s">
        <v>240</v>
      </c>
      <c r="D134" s="2">
        <v>163</v>
      </c>
      <c r="E134" s="2">
        <v>213</v>
      </c>
      <c r="F134" s="2">
        <v>178</v>
      </c>
      <c r="G134" s="2">
        <v>186</v>
      </c>
      <c r="H134" s="2">
        <v>225</v>
      </c>
      <c r="I134" s="2">
        <v>223</v>
      </c>
      <c r="J134" s="3">
        <f t="shared" si="2"/>
        <v>1188</v>
      </c>
      <c r="L134" s="2" t="s">
        <v>7</v>
      </c>
      <c r="M134" s="3">
        <f>SUM(H130:H137)</f>
        <v>1074</v>
      </c>
      <c r="O134" s="4"/>
      <c r="P134" s="3"/>
    </row>
    <row r="135" spans="1:16">
      <c r="A135" s="2" t="s">
        <v>231</v>
      </c>
      <c r="B135" s="2" t="s">
        <v>241</v>
      </c>
      <c r="C135" s="2" t="s">
        <v>242</v>
      </c>
      <c r="D135" s="2">
        <v>165</v>
      </c>
      <c r="E135" s="2">
        <v>182</v>
      </c>
      <c r="F135" s="2">
        <v>177</v>
      </c>
      <c r="G135" s="2">
        <v>191</v>
      </c>
      <c r="H135" s="2">
        <v>226</v>
      </c>
      <c r="I135" s="2"/>
      <c r="J135" s="3">
        <f t="shared" si="2"/>
        <v>941</v>
      </c>
      <c r="L135" s="2" t="s">
        <v>8</v>
      </c>
      <c r="M135" s="3">
        <f>SUM(I130:I137)</f>
        <v>1044</v>
      </c>
      <c r="O135" s="4"/>
      <c r="P135" s="3"/>
    </row>
    <row r="136" spans="1:16">
      <c r="A136" s="2" t="s">
        <v>231</v>
      </c>
      <c r="B136" s="2" t="s">
        <v>243</v>
      </c>
      <c r="C136" s="2" t="s">
        <v>244</v>
      </c>
      <c r="D136" s="2">
        <v>195</v>
      </c>
      <c r="E136" s="2">
        <v>148</v>
      </c>
      <c r="F136" s="2">
        <v>175</v>
      </c>
      <c r="G136" s="2">
        <v>223</v>
      </c>
      <c r="H136" s="2">
        <v>199</v>
      </c>
      <c r="I136" s="2">
        <v>212</v>
      </c>
      <c r="J136" s="3">
        <f t="shared" si="2"/>
        <v>1152</v>
      </c>
      <c r="L136" s="3"/>
      <c r="M136" s="3"/>
      <c r="O136" s="4"/>
      <c r="P136" s="3"/>
    </row>
    <row r="137" spans="1:16">
      <c r="A137" s="2" t="s">
        <v>231</v>
      </c>
      <c r="B137" s="2" t="s">
        <v>245</v>
      </c>
      <c r="C137" s="2" t="s">
        <v>246</v>
      </c>
      <c r="D137" s="2"/>
      <c r="E137" s="2"/>
      <c r="F137" s="2"/>
      <c r="G137" s="2"/>
      <c r="H137" s="2"/>
      <c r="I137" s="2"/>
      <c r="J137" s="3">
        <f t="shared" si="2"/>
        <v>0</v>
      </c>
      <c r="L137" s="2"/>
      <c r="M137" s="3"/>
      <c r="O137" s="4"/>
      <c r="P137" s="3"/>
    </row>
    <row r="138" spans="1:16">
      <c r="A138" s="6" t="s">
        <v>247</v>
      </c>
      <c r="B138" s="6" t="s">
        <v>248</v>
      </c>
      <c r="C138" s="6" t="s">
        <v>249</v>
      </c>
      <c r="D138" s="6"/>
      <c r="E138" s="6">
        <v>163</v>
      </c>
      <c r="F138" s="6"/>
      <c r="G138" s="6"/>
      <c r="H138" s="6"/>
      <c r="I138" s="6"/>
      <c r="J138" s="3">
        <f t="shared" si="2"/>
        <v>163</v>
      </c>
      <c r="L138" s="6" t="s">
        <v>3</v>
      </c>
      <c r="M138" s="7">
        <f>SUM(D138:D145)</f>
        <v>947</v>
      </c>
      <c r="O138" s="8" t="str">
        <f>A138</f>
        <v>St. Francis - Joliet</v>
      </c>
      <c r="P138" s="7">
        <f>SUM(M138:M143)</f>
        <v>5989</v>
      </c>
    </row>
    <row r="139" spans="1:16">
      <c r="A139" s="6" t="s">
        <v>247</v>
      </c>
      <c r="B139" s="6" t="s">
        <v>250</v>
      </c>
      <c r="C139" s="6" t="s">
        <v>251</v>
      </c>
      <c r="D139" s="6">
        <v>169</v>
      </c>
      <c r="E139" s="6"/>
      <c r="F139" s="6">
        <v>197</v>
      </c>
      <c r="G139" s="6">
        <v>237</v>
      </c>
      <c r="H139" s="6">
        <v>216</v>
      </c>
      <c r="I139" s="6">
        <v>268</v>
      </c>
      <c r="J139" s="3">
        <f t="shared" si="2"/>
        <v>1087</v>
      </c>
      <c r="L139" s="6" t="s">
        <v>4</v>
      </c>
      <c r="M139" s="7">
        <f>SUM(E138:E145)</f>
        <v>903</v>
      </c>
      <c r="O139" s="8"/>
      <c r="P139" s="7"/>
    </row>
    <row r="140" spans="1:16">
      <c r="A140" s="6" t="s">
        <v>247</v>
      </c>
      <c r="B140" s="6" t="s">
        <v>252</v>
      </c>
      <c r="C140" s="6" t="s">
        <v>253</v>
      </c>
      <c r="D140" s="6">
        <v>193</v>
      </c>
      <c r="E140" s="6">
        <v>144</v>
      </c>
      <c r="F140" s="6"/>
      <c r="G140" s="6">
        <v>212</v>
      </c>
      <c r="H140" s="6"/>
      <c r="I140" s="6"/>
      <c r="J140" s="3">
        <f t="shared" si="2"/>
        <v>549</v>
      </c>
      <c r="L140" s="6" t="s">
        <v>5</v>
      </c>
      <c r="M140" s="7">
        <f>SUM(F138:F145)</f>
        <v>1089</v>
      </c>
      <c r="O140" s="8"/>
      <c r="P140" s="7"/>
    </row>
    <row r="141" spans="1:16">
      <c r="A141" s="6" t="s">
        <v>247</v>
      </c>
      <c r="B141" s="6" t="s">
        <v>36</v>
      </c>
      <c r="C141" s="6" t="s">
        <v>254</v>
      </c>
      <c r="D141" s="6">
        <v>204</v>
      </c>
      <c r="E141" s="6">
        <v>181</v>
      </c>
      <c r="F141" s="6">
        <v>215</v>
      </c>
      <c r="G141" s="6">
        <v>223</v>
      </c>
      <c r="H141" s="6">
        <v>160</v>
      </c>
      <c r="I141" s="6">
        <v>194</v>
      </c>
      <c r="J141" s="3">
        <f t="shared" si="2"/>
        <v>1177</v>
      </c>
      <c r="L141" s="6" t="s">
        <v>6</v>
      </c>
      <c r="M141" s="7">
        <f>SUM(G138:G145)</f>
        <v>1033</v>
      </c>
      <c r="O141" s="8"/>
      <c r="P141" s="7"/>
    </row>
    <row r="142" spans="1:16">
      <c r="A142" s="6" t="s">
        <v>247</v>
      </c>
      <c r="B142" s="6" t="s">
        <v>255</v>
      </c>
      <c r="C142" s="6" t="s">
        <v>256</v>
      </c>
      <c r="D142" s="6">
        <v>158</v>
      </c>
      <c r="E142" s="6"/>
      <c r="F142" s="6"/>
      <c r="G142" s="6"/>
      <c r="H142" s="6">
        <v>211</v>
      </c>
      <c r="I142" s="6">
        <v>167</v>
      </c>
      <c r="J142" s="3">
        <f t="shared" si="2"/>
        <v>536</v>
      </c>
      <c r="L142" s="6" t="s">
        <v>7</v>
      </c>
      <c r="M142" s="7">
        <f>SUM(H138:H145)</f>
        <v>978</v>
      </c>
      <c r="O142" s="8"/>
      <c r="P142" s="7"/>
    </row>
    <row r="143" spans="1:16">
      <c r="A143" s="6" t="s">
        <v>247</v>
      </c>
      <c r="B143" s="6" t="s">
        <v>94</v>
      </c>
      <c r="C143" s="6" t="s">
        <v>257</v>
      </c>
      <c r="D143" s="6">
        <v>223</v>
      </c>
      <c r="E143" s="6">
        <v>216</v>
      </c>
      <c r="F143" s="6">
        <v>254</v>
      </c>
      <c r="G143" s="6">
        <v>177</v>
      </c>
      <c r="H143" s="6">
        <v>181</v>
      </c>
      <c r="I143" s="6">
        <v>156</v>
      </c>
      <c r="J143" s="3">
        <f t="shared" si="2"/>
        <v>1207</v>
      </c>
      <c r="L143" s="6" t="s">
        <v>8</v>
      </c>
      <c r="M143" s="7">
        <f>SUM(I138:I145)</f>
        <v>1039</v>
      </c>
      <c r="O143" s="8"/>
      <c r="P143" s="7"/>
    </row>
    <row r="144" spans="1:16">
      <c r="A144" s="6" t="s">
        <v>247</v>
      </c>
      <c r="B144" s="6" t="s">
        <v>258</v>
      </c>
      <c r="C144" s="6" t="s">
        <v>259</v>
      </c>
      <c r="D144" s="6"/>
      <c r="E144" s="6">
        <v>199</v>
      </c>
      <c r="F144" s="6">
        <v>237</v>
      </c>
      <c r="G144" s="6">
        <v>184</v>
      </c>
      <c r="H144" s="6">
        <v>210</v>
      </c>
      <c r="I144" s="6">
        <v>254</v>
      </c>
      <c r="J144" s="3">
        <f t="shared" si="2"/>
        <v>1084</v>
      </c>
      <c r="L144" s="6"/>
      <c r="M144" s="7"/>
      <c r="O144" s="8"/>
      <c r="P144" s="7"/>
    </row>
    <row r="145" spans="1:16">
      <c r="A145" s="6" t="s">
        <v>247</v>
      </c>
      <c r="B145" s="6" t="s">
        <v>260</v>
      </c>
      <c r="C145" s="6" t="s">
        <v>261</v>
      </c>
      <c r="D145" s="6"/>
      <c r="E145" s="6"/>
      <c r="F145" s="6">
        <v>186</v>
      </c>
      <c r="G145" s="6"/>
      <c r="H145" s="6"/>
      <c r="I145" s="6"/>
      <c r="J145" s="3">
        <f t="shared" si="2"/>
        <v>186</v>
      </c>
      <c r="L145" s="6"/>
      <c r="M145" s="7"/>
      <c r="O145" s="8"/>
      <c r="P145" s="7"/>
    </row>
    <row r="146" spans="1:16">
      <c r="A146" s="2" t="s">
        <v>262</v>
      </c>
      <c r="B146" s="2" t="s">
        <v>99</v>
      </c>
      <c r="C146" s="2" t="s">
        <v>263</v>
      </c>
      <c r="D146" s="2">
        <v>169</v>
      </c>
      <c r="E146" s="2">
        <v>169</v>
      </c>
      <c r="F146" s="2">
        <v>191</v>
      </c>
      <c r="G146" s="2">
        <v>167</v>
      </c>
      <c r="H146" s="2">
        <v>224</v>
      </c>
      <c r="I146" s="2">
        <v>159</v>
      </c>
      <c r="J146" s="3">
        <f t="shared" si="2"/>
        <v>1079</v>
      </c>
      <c r="L146" s="2" t="s">
        <v>3</v>
      </c>
      <c r="M146" s="3">
        <f>SUM(D146:D153)</f>
        <v>887</v>
      </c>
      <c r="O146" s="4" t="str">
        <f>A146</f>
        <v>Robert Morris - Lake County</v>
      </c>
      <c r="P146" s="3">
        <f>SUM(M146:M151)</f>
        <v>5339</v>
      </c>
    </row>
    <row r="147" spans="1:16">
      <c r="A147" s="2" t="s">
        <v>262</v>
      </c>
      <c r="B147" s="2" t="s">
        <v>264</v>
      </c>
      <c r="C147" s="2" t="s">
        <v>265</v>
      </c>
      <c r="D147" s="2">
        <v>203</v>
      </c>
      <c r="E147" s="2">
        <v>214</v>
      </c>
      <c r="F147" s="2">
        <v>164</v>
      </c>
      <c r="G147" s="2">
        <v>162</v>
      </c>
      <c r="H147" s="2">
        <v>190</v>
      </c>
      <c r="I147" s="2">
        <v>172</v>
      </c>
      <c r="J147" s="3">
        <f t="shared" si="2"/>
        <v>1105</v>
      </c>
      <c r="L147" s="2" t="s">
        <v>4</v>
      </c>
      <c r="M147" s="3">
        <f>SUM(E146:E153)</f>
        <v>877</v>
      </c>
      <c r="O147" s="4"/>
      <c r="P147" s="3"/>
    </row>
    <row r="148" spans="1:16">
      <c r="A148" s="2" t="s">
        <v>262</v>
      </c>
      <c r="B148" s="2" t="s">
        <v>266</v>
      </c>
      <c r="C148" s="2" t="s">
        <v>267</v>
      </c>
      <c r="D148" s="2">
        <v>165</v>
      </c>
      <c r="E148" s="2">
        <v>143</v>
      </c>
      <c r="F148" s="2">
        <v>168</v>
      </c>
      <c r="G148" s="2">
        <v>178</v>
      </c>
      <c r="H148" s="2">
        <v>199</v>
      </c>
      <c r="I148" s="2">
        <v>171</v>
      </c>
      <c r="J148" s="3">
        <f t="shared" si="2"/>
        <v>1024</v>
      </c>
      <c r="L148" s="2" t="s">
        <v>5</v>
      </c>
      <c r="M148" s="3">
        <f>SUM(F146:F153)</f>
        <v>843</v>
      </c>
      <c r="O148" s="4"/>
      <c r="P148" s="3"/>
    </row>
    <row r="149" spans="1:16">
      <c r="A149" s="2" t="s">
        <v>262</v>
      </c>
      <c r="B149" s="2" t="s">
        <v>36</v>
      </c>
      <c r="C149" s="2" t="s">
        <v>268</v>
      </c>
      <c r="D149" s="2">
        <v>199</v>
      </c>
      <c r="E149" s="2">
        <v>182</v>
      </c>
      <c r="F149" s="2">
        <v>189</v>
      </c>
      <c r="G149" s="2">
        <v>171</v>
      </c>
      <c r="H149" s="2">
        <v>241</v>
      </c>
      <c r="I149" s="2">
        <v>205</v>
      </c>
      <c r="J149" s="3">
        <f t="shared" si="2"/>
        <v>1187</v>
      </c>
      <c r="L149" s="2" t="s">
        <v>6</v>
      </c>
      <c r="M149" s="3">
        <f>SUM(G146:G153)</f>
        <v>822</v>
      </c>
      <c r="O149" s="4"/>
      <c r="P149" s="3"/>
    </row>
    <row r="150" spans="1:16">
      <c r="A150" s="2" t="s">
        <v>262</v>
      </c>
      <c r="B150" s="2" t="s">
        <v>23</v>
      </c>
      <c r="C150" s="2" t="s">
        <v>269</v>
      </c>
      <c r="D150" s="2"/>
      <c r="E150" s="2"/>
      <c r="F150" s="2"/>
      <c r="G150" s="2"/>
      <c r="H150" s="2"/>
      <c r="I150" s="2"/>
      <c r="J150" s="3">
        <f t="shared" si="2"/>
        <v>0</v>
      </c>
      <c r="L150" s="2" t="s">
        <v>7</v>
      </c>
      <c r="M150" s="3">
        <f>SUM(H146:H153)</f>
        <v>1035</v>
      </c>
      <c r="O150" s="4"/>
      <c r="P150" s="3"/>
    </row>
    <row r="151" spans="1:16">
      <c r="A151" s="2" t="s">
        <v>262</v>
      </c>
      <c r="B151" s="2" t="s">
        <v>92</v>
      </c>
      <c r="C151" s="2" t="s">
        <v>270</v>
      </c>
      <c r="D151" s="2">
        <v>151</v>
      </c>
      <c r="E151" s="2">
        <v>169</v>
      </c>
      <c r="F151" s="2">
        <v>131</v>
      </c>
      <c r="G151" s="2">
        <v>144</v>
      </c>
      <c r="H151" s="2">
        <v>181</v>
      </c>
      <c r="I151" s="2">
        <v>168</v>
      </c>
      <c r="J151" s="3">
        <f t="shared" si="2"/>
        <v>944</v>
      </c>
      <c r="L151" s="2" t="s">
        <v>8</v>
      </c>
      <c r="M151" s="3">
        <f>SUM(I146:I153)</f>
        <v>875</v>
      </c>
      <c r="O151" s="4"/>
      <c r="P151" s="3"/>
    </row>
    <row r="152" spans="1:16">
      <c r="A152" s="2" t="s">
        <v>262</v>
      </c>
      <c r="B152" s="2"/>
      <c r="C152" s="2"/>
      <c r="D152" s="2"/>
      <c r="E152" s="2"/>
      <c r="F152" s="2"/>
      <c r="G152" s="2"/>
      <c r="H152" s="2"/>
      <c r="I152" s="2"/>
      <c r="J152" s="3">
        <f t="shared" si="2"/>
        <v>0</v>
      </c>
      <c r="L152" s="3"/>
      <c r="M152" s="3"/>
      <c r="O152" s="4"/>
      <c r="P152" s="3"/>
    </row>
    <row r="153" spans="1:16">
      <c r="A153" s="2" t="s">
        <v>262</v>
      </c>
      <c r="B153" s="2"/>
      <c r="C153" s="2"/>
      <c r="D153" s="2"/>
      <c r="E153" s="2"/>
      <c r="F153" s="2"/>
      <c r="G153" s="2"/>
      <c r="H153" s="2"/>
      <c r="I153" s="2"/>
      <c r="J153" s="3">
        <f t="shared" si="2"/>
        <v>0</v>
      </c>
      <c r="L153" s="2"/>
      <c r="M153" s="3"/>
      <c r="O153" s="4"/>
      <c r="P153" s="3"/>
    </row>
    <row r="154" spans="1:16">
      <c r="A154" s="6" t="s">
        <v>271</v>
      </c>
      <c r="B154" s="6" t="s">
        <v>272</v>
      </c>
      <c r="C154" s="6" t="s">
        <v>273</v>
      </c>
      <c r="D154" s="6"/>
      <c r="E154" s="6"/>
      <c r="F154" s="6"/>
      <c r="G154" s="6"/>
      <c r="H154" s="6"/>
      <c r="I154" s="6"/>
      <c r="J154" s="3">
        <f t="shared" si="2"/>
        <v>0</v>
      </c>
      <c r="L154" s="6" t="s">
        <v>3</v>
      </c>
      <c r="M154" s="7">
        <f>SUM(D154:D161)</f>
        <v>759</v>
      </c>
      <c r="O154" s="8" t="str">
        <f>A154</f>
        <v>Penn State - Berks</v>
      </c>
      <c r="P154" s="7">
        <f>SUM(M154:M159)</f>
        <v>4774</v>
      </c>
    </row>
    <row r="155" spans="1:16">
      <c r="A155" s="6" t="s">
        <v>271</v>
      </c>
      <c r="B155" s="6" t="s">
        <v>274</v>
      </c>
      <c r="C155" s="6" t="s">
        <v>275</v>
      </c>
      <c r="D155" s="6">
        <v>97</v>
      </c>
      <c r="E155" s="6">
        <v>93</v>
      </c>
      <c r="F155" s="6">
        <v>109</v>
      </c>
      <c r="G155" s="6">
        <v>100</v>
      </c>
      <c r="H155" s="6">
        <v>133</v>
      </c>
      <c r="I155" s="6">
        <v>119</v>
      </c>
      <c r="J155" s="3">
        <f t="shared" si="2"/>
        <v>651</v>
      </c>
      <c r="L155" s="6" t="s">
        <v>4</v>
      </c>
      <c r="M155" s="7">
        <f>SUM(E154:E161)</f>
        <v>813</v>
      </c>
      <c r="O155" s="8"/>
      <c r="P155" s="7"/>
    </row>
    <row r="156" spans="1:16">
      <c r="A156" s="6" t="s">
        <v>271</v>
      </c>
      <c r="B156" s="6" t="s">
        <v>276</v>
      </c>
      <c r="C156" s="6" t="s">
        <v>277</v>
      </c>
      <c r="D156" s="6">
        <v>135</v>
      </c>
      <c r="E156" s="6">
        <v>190</v>
      </c>
      <c r="F156" s="6">
        <v>124</v>
      </c>
      <c r="G156" s="6">
        <v>165</v>
      </c>
      <c r="H156" s="6">
        <v>210</v>
      </c>
      <c r="I156" s="6">
        <v>154</v>
      </c>
      <c r="J156" s="3">
        <f t="shared" si="2"/>
        <v>978</v>
      </c>
      <c r="L156" s="6" t="s">
        <v>5</v>
      </c>
      <c r="M156" s="7">
        <f>SUM(F154:F161)</f>
        <v>692</v>
      </c>
      <c r="O156" s="8"/>
      <c r="P156" s="7"/>
    </row>
    <row r="157" spans="1:16">
      <c r="A157" s="6" t="s">
        <v>271</v>
      </c>
      <c r="B157" s="6" t="s">
        <v>23</v>
      </c>
      <c r="C157" s="6" t="s">
        <v>278</v>
      </c>
      <c r="D157" s="6">
        <v>193</v>
      </c>
      <c r="E157" s="6">
        <v>192</v>
      </c>
      <c r="F157" s="6">
        <v>159</v>
      </c>
      <c r="G157" s="6">
        <v>178</v>
      </c>
      <c r="H157" s="6">
        <v>148</v>
      </c>
      <c r="I157" s="6">
        <v>198</v>
      </c>
      <c r="J157" s="3">
        <f t="shared" si="2"/>
        <v>1068</v>
      </c>
      <c r="L157" s="6" t="s">
        <v>6</v>
      </c>
      <c r="M157" s="7">
        <f>SUM(G154:G161)</f>
        <v>820</v>
      </c>
      <c r="O157" s="8"/>
      <c r="P157" s="7"/>
    </row>
    <row r="158" spans="1:16">
      <c r="A158" s="6" t="s">
        <v>271</v>
      </c>
      <c r="B158" s="6" t="s">
        <v>72</v>
      </c>
      <c r="C158" s="6" t="s">
        <v>279</v>
      </c>
      <c r="D158" s="6">
        <v>164</v>
      </c>
      <c r="E158" s="6">
        <v>205</v>
      </c>
      <c r="F158" s="6">
        <v>150</v>
      </c>
      <c r="G158" s="6">
        <v>183</v>
      </c>
      <c r="H158" s="6">
        <v>152</v>
      </c>
      <c r="I158" s="6">
        <v>190</v>
      </c>
      <c r="J158" s="3">
        <f t="shared" si="2"/>
        <v>1044</v>
      </c>
      <c r="L158" s="6" t="s">
        <v>7</v>
      </c>
      <c r="M158" s="7">
        <f>SUM(H154:H161)</f>
        <v>856</v>
      </c>
      <c r="O158" s="8"/>
      <c r="P158" s="7"/>
    </row>
    <row r="159" spans="1:16">
      <c r="A159" s="6" t="s">
        <v>271</v>
      </c>
      <c r="B159" s="6" t="s">
        <v>72</v>
      </c>
      <c r="C159" s="6" t="s">
        <v>280</v>
      </c>
      <c r="D159" s="6">
        <v>170</v>
      </c>
      <c r="E159" s="6">
        <v>133</v>
      </c>
      <c r="F159" s="6">
        <v>150</v>
      </c>
      <c r="G159" s="6">
        <v>194</v>
      </c>
      <c r="H159" s="6">
        <v>213</v>
      </c>
      <c r="I159" s="6">
        <v>173</v>
      </c>
      <c r="J159" s="3">
        <f t="shared" si="2"/>
        <v>1033</v>
      </c>
      <c r="L159" s="6" t="s">
        <v>8</v>
      </c>
      <c r="M159" s="7">
        <f>SUM(I154:I161)</f>
        <v>834</v>
      </c>
      <c r="O159" s="8"/>
      <c r="P159" s="7"/>
    </row>
    <row r="160" spans="1:16">
      <c r="A160" s="6" t="s">
        <v>271</v>
      </c>
      <c r="B160" s="6"/>
      <c r="C160" s="6"/>
      <c r="D160" s="6"/>
      <c r="E160" s="6"/>
      <c r="F160" s="6"/>
      <c r="G160" s="6"/>
      <c r="H160" s="6"/>
      <c r="I160" s="6"/>
      <c r="J160" s="3">
        <f t="shared" si="2"/>
        <v>0</v>
      </c>
      <c r="L160" s="6"/>
      <c r="M160" s="7"/>
      <c r="O160" s="8"/>
      <c r="P160" s="7"/>
    </row>
    <row r="161" spans="1:16">
      <c r="A161" s="6" t="s">
        <v>271</v>
      </c>
      <c r="B161" s="6"/>
      <c r="C161" s="6"/>
      <c r="D161" s="6"/>
      <c r="E161" s="6"/>
      <c r="F161" s="6"/>
      <c r="G161" s="6"/>
      <c r="H161" s="6"/>
      <c r="I161" s="6"/>
      <c r="J161" s="3">
        <f t="shared" si="2"/>
        <v>0</v>
      </c>
      <c r="L161" s="6"/>
      <c r="M161" s="7"/>
      <c r="O161" s="8"/>
      <c r="P161" s="7"/>
    </row>
    <row r="162" spans="1:16">
      <c r="A162" s="2" t="s">
        <v>281</v>
      </c>
      <c r="B162" s="2" t="s">
        <v>75</v>
      </c>
      <c r="C162" s="2" t="s">
        <v>282</v>
      </c>
      <c r="D162" s="2">
        <v>165</v>
      </c>
      <c r="E162" s="2">
        <v>168</v>
      </c>
      <c r="F162" s="2">
        <v>183</v>
      </c>
      <c r="G162" s="2">
        <v>177</v>
      </c>
      <c r="H162" s="2">
        <v>213</v>
      </c>
      <c r="I162" s="2">
        <v>234</v>
      </c>
      <c r="J162" s="3">
        <f t="shared" si="2"/>
        <v>1140</v>
      </c>
      <c r="L162" s="2" t="s">
        <v>3</v>
      </c>
      <c r="M162" s="3">
        <f>SUM(D162:D169)</f>
        <v>859</v>
      </c>
      <c r="O162" s="4" t="str">
        <f>A162</f>
        <v>Northern Kentucky</v>
      </c>
      <c r="P162" s="3">
        <f>SUM(M162:M167)</f>
        <v>5367</v>
      </c>
    </row>
    <row r="163" spans="1:16">
      <c r="A163" s="2" t="s">
        <v>281</v>
      </c>
      <c r="B163" s="2" t="s">
        <v>283</v>
      </c>
      <c r="C163" s="2" t="s">
        <v>284</v>
      </c>
      <c r="D163" s="2">
        <v>113</v>
      </c>
      <c r="E163" s="2">
        <v>137</v>
      </c>
      <c r="F163" s="2"/>
      <c r="G163" s="2"/>
      <c r="H163" s="2"/>
      <c r="I163" s="2">
        <v>181</v>
      </c>
      <c r="J163" s="3">
        <f t="shared" si="2"/>
        <v>431</v>
      </c>
      <c r="L163" s="2" t="s">
        <v>4</v>
      </c>
      <c r="M163" s="3">
        <f>SUM(E162:E169)</f>
        <v>781</v>
      </c>
      <c r="O163" s="4"/>
      <c r="P163" s="3"/>
    </row>
    <row r="164" spans="1:16">
      <c r="A164" s="2" t="s">
        <v>281</v>
      </c>
      <c r="B164" s="2" t="s">
        <v>182</v>
      </c>
      <c r="C164" s="2" t="s">
        <v>285</v>
      </c>
      <c r="D164" s="2"/>
      <c r="E164" s="2"/>
      <c r="F164" s="2">
        <v>136</v>
      </c>
      <c r="G164" s="2"/>
      <c r="H164" s="2"/>
      <c r="I164" s="2"/>
      <c r="J164" s="3">
        <f t="shared" si="2"/>
        <v>136</v>
      </c>
      <c r="L164" s="2" t="s">
        <v>5</v>
      </c>
      <c r="M164" s="3">
        <f>SUM(F162:F169)</f>
        <v>841</v>
      </c>
      <c r="O164" s="4"/>
      <c r="P164" s="3"/>
    </row>
    <row r="165" spans="1:16">
      <c r="A165" s="2" t="s">
        <v>281</v>
      </c>
      <c r="B165" s="2" t="s">
        <v>286</v>
      </c>
      <c r="C165" s="2" t="s">
        <v>287</v>
      </c>
      <c r="D165" s="2">
        <v>112</v>
      </c>
      <c r="E165" s="2">
        <v>133</v>
      </c>
      <c r="F165" s="2"/>
      <c r="G165" s="2"/>
      <c r="H165" s="2">
        <v>179</v>
      </c>
      <c r="I165" s="2">
        <v>208</v>
      </c>
      <c r="J165" s="3">
        <f t="shared" si="2"/>
        <v>632</v>
      </c>
      <c r="L165" s="2" t="s">
        <v>6</v>
      </c>
      <c r="M165" s="3">
        <f>SUM(G162:G169)</f>
        <v>881</v>
      </c>
      <c r="O165" s="4"/>
      <c r="P165" s="3"/>
    </row>
    <row r="166" spans="1:16">
      <c r="A166" s="2" t="s">
        <v>281</v>
      </c>
      <c r="B166" s="2" t="s">
        <v>199</v>
      </c>
      <c r="C166" s="2" t="s">
        <v>288</v>
      </c>
      <c r="D166" s="2"/>
      <c r="E166" s="2"/>
      <c r="F166" s="2">
        <v>167</v>
      </c>
      <c r="G166" s="2">
        <v>156</v>
      </c>
      <c r="H166" s="2"/>
      <c r="I166" s="2"/>
      <c r="J166" s="3">
        <f t="shared" si="2"/>
        <v>323</v>
      </c>
      <c r="L166" s="2" t="s">
        <v>7</v>
      </c>
      <c r="M166" s="3">
        <f>SUM(H162:H169)</f>
        <v>1004</v>
      </c>
      <c r="O166" s="4"/>
      <c r="P166" s="3"/>
    </row>
    <row r="167" spans="1:16">
      <c r="A167" s="2" t="s">
        <v>281</v>
      </c>
      <c r="B167" s="2" t="s">
        <v>289</v>
      </c>
      <c r="C167" s="2" t="s">
        <v>290</v>
      </c>
      <c r="D167" s="2">
        <v>191</v>
      </c>
      <c r="E167" s="2">
        <v>183</v>
      </c>
      <c r="F167" s="2">
        <v>172</v>
      </c>
      <c r="G167" s="2">
        <v>214</v>
      </c>
      <c r="H167" s="2">
        <v>178</v>
      </c>
      <c r="I167" s="2">
        <v>166</v>
      </c>
      <c r="J167" s="3">
        <f t="shared" si="2"/>
        <v>1104</v>
      </c>
      <c r="L167" s="2" t="s">
        <v>8</v>
      </c>
      <c r="M167" s="3">
        <f>SUM(I162:I169)</f>
        <v>1001</v>
      </c>
      <c r="O167" s="4"/>
      <c r="P167" s="3"/>
    </row>
    <row r="168" spans="1:16">
      <c r="A168" s="2" t="s">
        <v>281</v>
      </c>
      <c r="B168" s="2" t="s">
        <v>291</v>
      </c>
      <c r="C168" s="2" t="s">
        <v>292</v>
      </c>
      <c r="D168" s="2"/>
      <c r="E168" s="2"/>
      <c r="F168" s="2"/>
      <c r="G168" s="2">
        <v>169</v>
      </c>
      <c r="H168" s="2">
        <v>165</v>
      </c>
      <c r="I168" s="2"/>
      <c r="J168" s="3">
        <f t="shared" si="2"/>
        <v>334</v>
      </c>
      <c r="L168" s="3"/>
      <c r="M168" s="3"/>
      <c r="O168" s="4"/>
      <c r="P168" s="3"/>
    </row>
    <row r="169" spans="1:16">
      <c r="A169" s="2" t="s">
        <v>281</v>
      </c>
      <c r="B169" s="2" t="s">
        <v>293</v>
      </c>
      <c r="C169" s="2" t="s">
        <v>294</v>
      </c>
      <c r="D169" s="2">
        <v>278</v>
      </c>
      <c r="E169" s="2">
        <v>160</v>
      </c>
      <c r="F169" s="2">
        <v>183</v>
      </c>
      <c r="G169" s="2">
        <v>165</v>
      </c>
      <c r="H169" s="2">
        <v>269</v>
      </c>
      <c r="I169" s="2">
        <v>212</v>
      </c>
      <c r="J169" s="3">
        <f t="shared" si="2"/>
        <v>1267</v>
      </c>
      <c r="L169" s="2"/>
      <c r="M169" s="3"/>
      <c r="O169" s="4"/>
      <c r="P169" s="3"/>
    </row>
    <row r="170" spans="1:16">
      <c r="A170" s="6" t="s">
        <v>295</v>
      </c>
      <c r="B170" s="6" t="s">
        <v>75</v>
      </c>
      <c r="C170" s="6" t="s">
        <v>296</v>
      </c>
      <c r="D170" s="6">
        <v>142</v>
      </c>
      <c r="E170" s="6">
        <v>190</v>
      </c>
      <c r="F170" s="6">
        <v>172</v>
      </c>
      <c r="G170" s="6">
        <v>188</v>
      </c>
      <c r="H170" s="6">
        <v>177</v>
      </c>
      <c r="I170" s="6">
        <v>203</v>
      </c>
      <c r="J170" s="3">
        <f t="shared" si="2"/>
        <v>1072</v>
      </c>
      <c r="L170" s="6" t="s">
        <v>3</v>
      </c>
      <c r="M170" s="7">
        <f>SUM(D170:D177)</f>
        <v>818</v>
      </c>
      <c r="O170" s="8" t="str">
        <f>A170</f>
        <v>Muskingum</v>
      </c>
      <c r="P170" s="7">
        <f>SUM(M170:M175)</f>
        <v>5469</v>
      </c>
    </row>
    <row r="171" spans="1:16">
      <c r="A171" s="6" t="s">
        <v>295</v>
      </c>
      <c r="B171" s="6" t="s">
        <v>286</v>
      </c>
      <c r="C171" s="6" t="s">
        <v>48</v>
      </c>
      <c r="D171" s="6">
        <v>191</v>
      </c>
      <c r="E171" s="6">
        <v>177</v>
      </c>
      <c r="F171" s="6">
        <v>214</v>
      </c>
      <c r="G171" s="6">
        <v>240</v>
      </c>
      <c r="H171" s="6">
        <v>198</v>
      </c>
      <c r="I171" s="6">
        <v>198</v>
      </c>
      <c r="J171" s="3">
        <f t="shared" si="2"/>
        <v>1218</v>
      </c>
      <c r="L171" s="6" t="s">
        <v>4</v>
      </c>
      <c r="M171" s="7">
        <f>SUM(E170:E177)</f>
        <v>905</v>
      </c>
      <c r="O171" s="8"/>
      <c r="P171" s="7"/>
    </row>
    <row r="172" spans="1:16">
      <c r="A172" s="6" t="s">
        <v>295</v>
      </c>
      <c r="B172" s="6" t="s">
        <v>297</v>
      </c>
      <c r="C172" s="6" t="s">
        <v>298</v>
      </c>
      <c r="D172" s="6">
        <v>173</v>
      </c>
      <c r="E172" s="6">
        <v>197</v>
      </c>
      <c r="F172" s="6">
        <v>181</v>
      </c>
      <c r="G172" s="6">
        <v>148</v>
      </c>
      <c r="H172" s="6">
        <v>191</v>
      </c>
      <c r="I172" s="6">
        <v>157</v>
      </c>
      <c r="J172" s="3">
        <f t="shared" si="2"/>
        <v>1047</v>
      </c>
      <c r="L172" s="6" t="s">
        <v>5</v>
      </c>
      <c r="M172" s="7">
        <f>SUM(F170:F177)</f>
        <v>935</v>
      </c>
      <c r="O172" s="8"/>
      <c r="P172" s="7"/>
    </row>
    <row r="173" spans="1:16">
      <c r="A173" s="6" t="s">
        <v>295</v>
      </c>
      <c r="B173" s="6" t="s">
        <v>299</v>
      </c>
      <c r="C173" s="6" t="s">
        <v>300</v>
      </c>
      <c r="D173" s="6"/>
      <c r="E173" s="6"/>
      <c r="F173" s="6"/>
      <c r="G173" s="6"/>
      <c r="H173" s="6">
        <v>139</v>
      </c>
      <c r="I173" s="6">
        <v>233</v>
      </c>
      <c r="J173" s="3">
        <f t="shared" si="2"/>
        <v>372</v>
      </c>
      <c r="L173" s="6" t="s">
        <v>6</v>
      </c>
      <c r="M173" s="7">
        <f>SUM(G170:G177)</f>
        <v>905</v>
      </c>
      <c r="O173" s="8"/>
      <c r="P173" s="7"/>
    </row>
    <row r="174" spans="1:16">
      <c r="A174" s="6" t="s">
        <v>295</v>
      </c>
      <c r="B174" s="6" t="s">
        <v>301</v>
      </c>
      <c r="C174" s="6" t="s">
        <v>302</v>
      </c>
      <c r="D174" s="6">
        <v>156</v>
      </c>
      <c r="E174" s="6">
        <v>173</v>
      </c>
      <c r="F174" s="6">
        <v>174</v>
      </c>
      <c r="G174" s="6">
        <v>145</v>
      </c>
      <c r="H174" s="6"/>
      <c r="I174" s="6"/>
      <c r="J174" s="3">
        <f t="shared" si="2"/>
        <v>648</v>
      </c>
      <c r="L174" s="6" t="s">
        <v>7</v>
      </c>
      <c r="M174" s="7">
        <f>SUM(H170:H177)</f>
        <v>900</v>
      </c>
      <c r="O174" s="8"/>
      <c r="P174" s="7"/>
    </row>
    <row r="175" spans="1:16">
      <c r="A175" s="6" t="s">
        <v>295</v>
      </c>
      <c r="B175" s="6" t="s">
        <v>83</v>
      </c>
      <c r="C175" s="6" t="s">
        <v>303</v>
      </c>
      <c r="D175" s="6">
        <v>156</v>
      </c>
      <c r="E175" s="6">
        <v>168</v>
      </c>
      <c r="F175" s="6">
        <v>194</v>
      </c>
      <c r="G175" s="6">
        <v>184</v>
      </c>
      <c r="H175" s="6">
        <v>195</v>
      </c>
      <c r="I175" s="6">
        <v>215</v>
      </c>
      <c r="J175" s="3">
        <f t="shared" si="2"/>
        <v>1112</v>
      </c>
      <c r="L175" s="6" t="s">
        <v>8</v>
      </c>
      <c r="M175" s="7">
        <f>SUM(I170:I177)</f>
        <v>1006</v>
      </c>
      <c r="O175" s="8"/>
      <c r="P175" s="7"/>
    </row>
    <row r="176" spans="1:16">
      <c r="A176" s="6" t="s">
        <v>295</v>
      </c>
      <c r="B176" s="6"/>
      <c r="C176" s="6"/>
      <c r="D176" s="6"/>
      <c r="E176" s="6"/>
      <c r="F176" s="6"/>
      <c r="G176" s="6"/>
      <c r="H176" s="6"/>
      <c r="I176" s="6"/>
      <c r="J176" s="3">
        <f t="shared" si="2"/>
        <v>0</v>
      </c>
      <c r="L176" s="6"/>
      <c r="M176" s="7"/>
      <c r="O176" s="8"/>
      <c r="P176" s="7"/>
    </row>
    <row r="177" spans="1:16">
      <c r="A177" s="6" t="s">
        <v>295</v>
      </c>
      <c r="B177" s="6"/>
      <c r="C177" s="6"/>
      <c r="D177" s="6"/>
      <c r="E177" s="6"/>
      <c r="F177" s="6"/>
      <c r="G177" s="6"/>
      <c r="H177" s="6"/>
      <c r="I177" s="6"/>
      <c r="J177" s="3">
        <f t="shared" si="2"/>
        <v>0</v>
      </c>
      <c r="L177" s="6"/>
      <c r="M177" s="7"/>
      <c r="O177" s="8"/>
      <c r="P177" s="7"/>
    </row>
    <row r="178" spans="1:16">
      <c r="A178" s="2" t="s">
        <v>304</v>
      </c>
      <c r="B178" s="2" t="s">
        <v>305</v>
      </c>
      <c r="C178" s="2" t="s">
        <v>306</v>
      </c>
      <c r="D178" s="2"/>
      <c r="E178" s="2">
        <v>212</v>
      </c>
      <c r="F178" s="2">
        <v>202</v>
      </c>
      <c r="G178" s="2">
        <v>237</v>
      </c>
      <c r="H178" s="2">
        <v>190</v>
      </c>
      <c r="I178" s="2">
        <v>228</v>
      </c>
      <c r="J178" s="3">
        <f t="shared" si="2"/>
        <v>1069</v>
      </c>
      <c r="L178" s="2" t="s">
        <v>3</v>
      </c>
      <c r="M178" s="3">
        <f>SUM(D178:D185)</f>
        <v>850</v>
      </c>
      <c r="O178" s="4" t="str">
        <f>A178</f>
        <v>Lindenwood - Belleville</v>
      </c>
      <c r="P178" s="3">
        <f>SUM(M178:M183)</f>
        <v>5844</v>
      </c>
    </row>
    <row r="179" spans="1:16">
      <c r="A179" s="2" t="s">
        <v>304</v>
      </c>
      <c r="B179" s="2" t="s">
        <v>307</v>
      </c>
      <c r="C179" s="2" t="s">
        <v>308</v>
      </c>
      <c r="D179" s="2"/>
      <c r="E179" s="2">
        <v>129</v>
      </c>
      <c r="F179" s="2"/>
      <c r="G179" s="2"/>
      <c r="H179" s="2"/>
      <c r="I179" s="2"/>
      <c r="J179" s="3">
        <f t="shared" si="2"/>
        <v>129</v>
      </c>
      <c r="L179" s="2" t="s">
        <v>4</v>
      </c>
      <c r="M179" s="3">
        <f>SUM(E178:E185)</f>
        <v>888</v>
      </c>
      <c r="O179" s="4"/>
      <c r="P179" s="3"/>
    </row>
    <row r="180" spans="1:16">
      <c r="A180" s="2" t="s">
        <v>304</v>
      </c>
      <c r="B180" s="2" t="s">
        <v>245</v>
      </c>
      <c r="C180" s="2" t="s">
        <v>309</v>
      </c>
      <c r="D180" s="2">
        <v>190</v>
      </c>
      <c r="E180" s="2">
        <v>180</v>
      </c>
      <c r="F180" s="2">
        <v>164</v>
      </c>
      <c r="G180" s="2">
        <v>223</v>
      </c>
      <c r="H180" s="2">
        <v>171</v>
      </c>
      <c r="I180" s="2">
        <v>172</v>
      </c>
      <c r="J180" s="3">
        <f t="shared" si="2"/>
        <v>1100</v>
      </c>
      <c r="L180" s="2" t="s">
        <v>5</v>
      </c>
      <c r="M180" s="3">
        <f>SUM(F178:F185)</f>
        <v>984</v>
      </c>
      <c r="O180" s="4"/>
      <c r="P180" s="3"/>
    </row>
    <row r="181" spans="1:16">
      <c r="A181" s="2" t="s">
        <v>304</v>
      </c>
      <c r="B181" s="2" t="s">
        <v>170</v>
      </c>
      <c r="C181" s="2" t="s">
        <v>310</v>
      </c>
      <c r="D181" s="2">
        <v>115</v>
      </c>
      <c r="E181" s="2"/>
      <c r="F181" s="2"/>
      <c r="G181" s="2"/>
      <c r="H181" s="2"/>
      <c r="I181" s="2"/>
      <c r="J181" s="3">
        <f t="shared" si="2"/>
        <v>115</v>
      </c>
      <c r="L181" s="2" t="s">
        <v>6</v>
      </c>
      <c r="M181" s="3">
        <f>SUM(G178:G185)</f>
        <v>1071</v>
      </c>
      <c r="O181" s="4"/>
      <c r="P181" s="3"/>
    </row>
    <row r="182" spans="1:16">
      <c r="A182" s="2" t="s">
        <v>304</v>
      </c>
      <c r="B182" s="2" t="s">
        <v>311</v>
      </c>
      <c r="C182" s="2" t="s">
        <v>312</v>
      </c>
      <c r="D182" s="2">
        <v>136</v>
      </c>
      <c r="E182" s="2"/>
      <c r="F182" s="2"/>
      <c r="G182" s="2">
        <v>205</v>
      </c>
      <c r="H182" s="2">
        <v>172</v>
      </c>
      <c r="I182" s="2">
        <v>189</v>
      </c>
      <c r="J182" s="3">
        <f t="shared" si="2"/>
        <v>702</v>
      </c>
      <c r="L182" s="2" t="s">
        <v>7</v>
      </c>
      <c r="M182" s="3">
        <f>SUM(H178:H185)</f>
        <v>992</v>
      </c>
      <c r="O182" s="4"/>
      <c r="P182" s="3"/>
    </row>
    <row r="183" spans="1:16">
      <c r="A183" s="2" t="s">
        <v>304</v>
      </c>
      <c r="B183" s="2" t="s">
        <v>313</v>
      </c>
      <c r="C183" s="2" t="s">
        <v>314</v>
      </c>
      <c r="D183" s="2"/>
      <c r="E183" s="2"/>
      <c r="F183" s="2">
        <v>155</v>
      </c>
      <c r="G183" s="2"/>
      <c r="H183" s="2"/>
      <c r="I183" s="2"/>
      <c r="J183" s="3">
        <f t="shared" si="2"/>
        <v>155</v>
      </c>
      <c r="L183" s="2" t="s">
        <v>8</v>
      </c>
      <c r="M183" s="3">
        <f>SUM(I178:I185)</f>
        <v>1059</v>
      </c>
      <c r="O183" s="4"/>
      <c r="P183" s="3"/>
    </row>
    <row r="184" spans="1:16">
      <c r="A184" s="2" t="s">
        <v>304</v>
      </c>
      <c r="B184" s="2" t="s">
        <v>315</v>
      </c>
      <c r="C184" s="2" t="s">
        <v>316</v>
      </c>
      <c r="D184" s="2">
        <v>169</v>
      </c>
      <c r="E184" s="2">
        <v>182</v>
      </c>
      <c r="F184" s="2">
        <v>209</v>
      </c>
      <c r="G184" s="2">
        <v>190</v>
      </c>
      <c r="H184" s="2">
        <v>238</v>
      </c>
      <c r="I184" s="2">
        <v>233</v>
      </c>
      <c r="J184" s="3">
        <f t="shared" si="2"/>
        <v>1221</v>
      </c>
      <c r="L184" s="3"/>
      <c r="M184" s="3"/>
      <c r="O184" s="4"/>
      <c r="P184" s="3"/>
    </row>
    <row r="185" spans="1:16">
      <c r="A185" s="2" t="s">
        <v>304</v>
      </c>
      <c r="B185" s="2" t="s">
        <v>299</v>
      </c>
      <c r="C185" s="2" t="s">
        <v>317</v>
      </c>
      <c r="D185" s="2">
        <v>240</v>
      </c>
      <c r="E185" s="2">
        <v>185</v>
      </c>
      <c r="F185" s="2">
        <v>254</v>
      </c>
      <c r="G185" s="2">
        <v>216</v>
      </c>
      <c r="H185" s="2">
        <v>221</v>
      </c>
      <c r="I185" s="2">
        <v>237</v>
      </c>
      <c r="J185" s="3">
        <f t="shared" si="2"/>
        <v>1353</v>
      </c>
      <c r="L185" s="2"/>
      <c r="M185" s="3"/>
      <c r="O185" s="4"/>
      <c r="P185" s="3"/>
    </row>
    <row r="186" spans="1:16">
      <c r="A186" s="6" t="s">
        <v>318</v>
      </c>
      <c r="B186" s="6" t="s">
        <v>250</v>
      </c>
      <c r="C186" s="6" t="s">
        <v>319</v>
      </c>
      <c r="D186" s="6"/>
      <c r="E186" s="6">
        <v>144</v>
      </c>
      <c r="F186" s="6">
        <v>232</v>
      </c>
      <c r="G186" s="6">
        <v>181</v>
      </c>
      <c r="H186" s="6">
        <v>138</v>
      </c>
      <c r="I186" s="6"/>
      <c r="J186" s="3">
        <f t="shared" si="2"/>
        <v>695</v>
      </c>
      <c r="L186" s="6" t="s">
        <v>3</v>
      </c>
      <c r="M186" s="7">
        <f>SUM(D186:D193)</f>
        <v>891</v>
      </c>
      <c r="O186" s="8" t="str">
        <f>A186</f>
        <v>Michigan State</v>
      </c>
      <c r="P186" s="7">
        <f>SUM(M186:M191)</f>
        <v>5173</v>
      </c>
    </row>
    <row r="187" spans="1:16">
      <c r="A187" s="6" t="s">
        <v>318</v>
      </c>
      <c r="B187" s="6" t="s">
        <v>320</v>
      </c>
      <c r="C187" s="6" t="s">
        <v>321</v>
      </c>
      <c r="D187" s="6">
        <v>191</v>
      </c>
      <c r="E187" s="6">
        <v>156</v>
      </c>
      <c r="F187" s="6">
        <v>201</v>
      </c>
      <c r="G187" s="6">
        <v>137</v>
      </c>
      <c r="H187" s="6">
        <v>189</v>
      </c>
      <c r="I187" s="6">
        <v>180</v>
      </c>
      <c r="J187" s="3">
        <f t="shared" si="2"/>
        <v>1054</v>
      </c>
      <c r="L187" s="6" t="s">
        <v>4</v>
      </c>
      <c r="M187" s="7">
        <f>SUM(E186:E193)</f>
        <v>795</v>
      </c>
      <c r="O187" s="8"/>
      <c r="P187" s="7"/>
    </row>
    <row r="188" spans="1:16">
      <c r="A188" s="6" t="s">
        <v>318</v>
      </c>
      <c r="B188" s="6" t="s">
        <v>322</v>
      </c>
      <c r="C188" s="6" t="s">
        <v>323</v>
      </c>
      <c r="D188" s="6">
        <v>223</v>
      </c>
      <c r="E188" s="6">
        <v>200</v>
      </c>
      <c r="F188" s="6">
        <v>170</v>
      </c>
      <c r="G188" s="6">
        <v>147</v>
      </c>
      <c r="H188" s="6">
        <v>187</v>
      </c>
      <c r="I188" s="6">
        <v>166</v>
      </c>
      <c r="J188" s="3">
        <f t="shared" si="2"/>
        <v>1093</v>
      </c>
      <c r="L188" s="6" t="s">
        <v>5</v>
      </c>
      <c r="M188" s="7">
        <f>SUM(F186:F193)</f>
        <v>979</v>
      </c>
      <c r="O188" s="8"/>
      <c r="P188" s="7"/>
    </row>
    <row r="189" spans="1:16">
      <c r="A189" s="6" t="s">
        <v>318</v>
      </c>
      <c r="B189" s="6" t="s">
        <v>324</v>
      </c>
      <c r="C189" s="6" t="s">
        <v>325</v>
      </c>
      <c r="D189" s="6"/>
      <c r="E189" s="6"/>
      <c r="F189" s="6"/>
      <c r="G189" s="6"/>
      <c r="H189" s="6"/>
      <c r="I189" s="6"/>
      <c r="J189" s="3">
        <f t="shared" si="2"/>
        <v>0</v>
      </c>
      <c r="L189" s="6" t="s">
        <v>6</v>
      </c>
      <c r="M189" s="7">
        <f>SUM(G186:G193)</f>
        <v>784</v>
      </c>
      <c r="O189" s="8"/>
      <c r="P189" s="7"/>
    </row>
    <row r="190" spans="1:16">
      <c r="A190" s="6" t="s">
        <v>318</v>
      </c>
      <c r="B190" s="6" t="s">
        <v>326</v>
      </c>
      <c r="C190" s="6" t="s">
        <v>327</v>
      </c>
      <c r="D190" s="6">
        <v>167</v>
      </c>
      <c r="E190" s="6">
        <v>167</v>
      </c>
      <c r="F190" s="6">
        <v>193</v>
      </c>
      <c r="G190" s="6">
        <v>179</v>
      </c>
      <c r="H190" s="6">
        <v>162</v>
      </c>
      <c r="I190" s="6">
        <v>258</v>
      </c>
      <c r="J190" s="3">
        <f t="shared" si="2"/>
        <v>1126</v>
      </c>
      <c r="L190" s="6" t="s">
        <v>7</v>
      </c>
      <c r="M190" s="7">
        <f>SUM(H186:H193)</f>
        <v>805</v>
      </c>
      <c r="O190" s="8"/>
      <c r="P190" s="7"/>
    </row>
    <row r="191" spans="1:16">
      <c r="A191" s="6" t="s">
        <v>318</v>
      </c>
      <c r="B191" s="6" t="s">
        <v>159</v>
      </c>
      <c r="C191" s="6" t="s">
        <v>328</v>
      </c>
      <c r="D191" s="6">
        <v>133</v>
      </c>
      <c r="E191" s="6"/>
      <c r="F191" s="6"/>
      <c r="G191" s="6"/>
      <c r="H191" s="6"/>
      <c r="I191" s="6">
        <v>171</v>
      </c>
      <c r="J191" s="3">
        <f t="shared" si="2"/>
        <v>304</v>
      </c>
      <c r="L191" s="6" t="s">
        <v>8</v>
      </c>
      <c r="M191" s="7">
        <f>SUM(I186:I193)</f>
        <v>919</v>
      </c>
      <c r="O191" s="8"/>
      <c r="P191" s="7"/>
    </row>
    <row r="192" spans="1:16">
      <c r="A192" s="6" t="s">
        <v>318</v>
      </c>
      <c r="B192" s="6" t="s">
        <v>59</v>
      </c>
      <c r="C192" s="6" t="s">
        <v>329</v>
      </c>
      <c r="D192" s="6"/>
      <c r="E192" s="6"/>
      <c r="F192" s="6"/>
      <c r="G192" s="6"/>
      <c r="H192" s="6"/>
      <c r="I192" s="6"/>
      <c r="J192" s="3">
        <f t="shared" si="2"/>
        <v>0</v>
      </c>
      <c r="L192" s="6"/>
      <c r="M192" s="7"/>
      <c r="O192" s="8"/>
      <c r="P192" s="7"/>
    </row>
    <row r="193" spans="1:16">
      <c r="A193" s="6" t="s">
        <v>318</v>
      </c>
      <c r="B193" s="6" t="s">
        <v>105</v>
      </c>
      <c r="C193" s="6" t="s">
        <v>330</v>
      </c>
      <c r="D193" s="6">
        <v>177</v>
      </c>
      <c r="E193" s="6">
        <v>128</v>
      </c>
      <c r="F193" s="6">
        <v>183</v>
      </c>
      <c r="G193" s="6">
        <v>140</v>
      </c>
      <c r="H193" s="6">
        <v>129</v>
      </c>
      <c r="I193" s="6">
        <v>144</v>
      </c>
      <c r="J193" s="3">
        <f t="shared" si="2"/>
        <v>901</v>
      </c>
      <c r="L193" s="6"/>
      <c r="M193" s="7"/>
      <c r="O193" s="8"/>
      <c r="P193" s="7"/>
    </row>
    <row r="194" spans="1:16">
      <c r="A194" s="2" t="s">
        <v>331</v>
      </c>
      <c r="B194" s="2" t="s">
        <v>332</v>
      </c>
      <c r="C194" s="2" t="s">
        <v>333</v>
      </c>
      <c r="D194" s="2">
        <v>211</v>
      </c>
      <c r="E194" s="2">
        <v>143</v>
      </c>
      <c r="F194" s="2">
        <v>205</v>
      </c>
      <c r="G194" s="2">
        <v>205</v>
      </c>
      <c r="H194" s="2">
        <v>279</v>
      </c>
      <c r="I194" s="2">
        <v>164</v>
      </c>
      <c r="J194" s="3">
        <f t="shared" si="2"/>
        <v>1207</v>
      </c>
      <c r="L194" s="2" t="s">
        <v>3</v>
      </c>
      <c r="M194" s="3">
        <f>SUM(D194:D201)</f>
        <v>927</v>
      </c>
      <c r="O194" s="4" t="str">
        <f>A194</f>
        <v>Lawrence Tech</v>
      </c>
      <c r="P194" s="3">
        <f>SUM(M194:M199)</f>
        <v>5701</v>
      </c>
    </row>
    <row r="195" spans="1:16">
      <c r="A195" s="2" t="s">
        <v>331</v>
      </c>
      <c r="B195" s="2" t="s">
        <v>334</v>
      </c>
      <c r="C195" s="2" t="s">
        <v>335</v>
      </c>
      <c r="D195" s="2">
        <v>204</v>
      </c>
      <c r="E195" s="2">
        <v>167</v>
      </c>
      <c r="F195" s="2">
        <v>176</v>
      </c>
      <c r="G195" s="2">
        <v>233</v>
      </c>
      <c r="H195" s="2">
        <v>174</v>
      </c>
      <c r="I195" s="2">
        <v>212</v>
      </c>
      <c r="J195" s="3">
        <f t="shared" ref="J195:J209" si="3">SUM(D195:I195)</f>
        <v>1166</v>
      </c>
      <c r="L195" s="2" t="s">
        <v>4</v>
      </c>
      <c r="M195" s="3">
        <f>SUM(E194:E201)</f>
        <v>859</v>
      </c>
      <c r="O195" s="4"/>
      <c r="P195" s="3"/>
    </row>
    <row r="196" spans="1:16">
      <c r="A196" s="2" t="s">
        <v>331</v>
      </c>
      <c r="B196" s="2" t="s">
        <v>336</v>
      </c>
      <c r="C196" s="2" t="s">
        <v>337</v>
      </c>
      <c r="D196" s="2">
        <v>213</v>
      </c>
      <c r="E196" s="2">
        <v>173</v>
      </c>
      <c r="F196" s="2">
        <v>202</v>
      </c>
      <c r="G196" s="2">
        <v>195</v>
      </c>
      <c r="H196" s="2">
        <v>185</v>
      </c>
      <c r="I196" s="2">
        <v>187</v>
      </c>
      <c r="J196" s="3">
        <f t="shared" si="3"/>
        <v>1155</v>
      </c>
      <c r="L196" s="2" t="s">
        <v>5</v>
      </c>
      <c r="M196" s="3">
        <f>SUM(F194:F201)</f>
        <v>955</v>
      </c>
      <c r="O196" s="4"/>
      <c r="P196" s="3"/>
    </row>
    <row r="197" spans="1:16">
      <c r="A197" s="2" t="s">
        <v>331</v>
      </c>
      <c r="B197" s="2" t="s">
        <v>276</v>
      </c>
      <c r="C197" s="2" t="s">
        <v>338</v>
      </c>
      <c r="D197" s="2"/>
      <c r="E197" s="2"/>
      <c r="F197" s="2"/>
      <c r="G197" s="2"/>
      <c r="H197" s="2"/>
      <c r="I197" s="2"/>
      <c r="J197" s="3">
        <f t="shared" si="3"/>
        <v>0</v>
      </c>
      <c r="L197" s="2" t="s">
        <v>6</v>
      </c>
      <c r="M197" s="3">
        <f>SUM(G194:G201)</f>
        <v>1018</v>
      </c>
      <c r="O197" s="4"/>
      <c r="P197" s="3"/>
    </row>
    <row r="198" spans="1:16">
      <c r="A198" s="2" t="s">
        <v>331</v>
      </c>
      <c r="B198" s="2" t="s">
        <v>72</v>
      </c>
      <c r="C198" s="2" t="s">
        <v>339</v>
      </c>
      <c r="D198" s="2">
        <v>132</v>
      </c>
      <c r="E198" s="2"/>
      <c r="F198" s="2"/>
      <c r="G198" s="2"/>
      <c r="H198" s="2"/>
      <c r="I198" s="2">
        <v>191</v>
      </c>
      <c r="J198" s="3">
        <f t="shared" si="3"/>
        <v>323</v>
      </c>
      <c r="L198" s="2" t="s">
        <v>7</v>
      </c>
      <c r="M198" s="3">
        <f>SUM(H194:H201)</f>
        <v>1019</v>
      </c>
      <c r="O198" s="4"/>
      <c r="P198" s="3"/>
    </row>
    <row r="199" spans="1:16">
      <c r="A199" s="2" t="s">
        <v>331</v>
      </c>
      <c r="B199" s="2" t="s">
        <v>89</v>
      </c>
      <c r="C199" s="2" t="s">
        <v>340</v>
      </c>
      <c r="D199" s="2">
        <v>167</v>
      </c>
      <c r="E199" s="2">
        <v>215</v>
      </c>
      <c r="F199" s="2">
        <v>166</v>
      </c>
      <c r="G199" s="2">
        <v>209</v>
      </c>
      <c r="H199" s="2">
        <v>232</v>
      </c>
      <c r="I199" s="2">
        <v>169</v>
      </c>
      <c r="J199" s="3">
        <f t="shared" si="3"/>
        <v>1158</v>
      </c>
      <c r="L199" s="2" t="s">
        <v>8</v>
      </c>
      <c r="M199" s="3">
        <f>SUM(I194:I201)</f>
        <v>923</v>
      </c>
      <c r="O199" s="4"/>
      <c r="P199" s="3"/>
    </row>
    <row r="200" spans="1:16">
      <c r="A200" s="2" t="s">
        <v>331</v>
      </c>
      <c r="B200" s="2" t="s">
        <v>23</v>
      </c>
      <c r="C200" s="2" t="s">
        <v>341</v>
      </c>
      <c r="D200" s="2"/>
      <c r="E200" s="2">
        <v>161</v>
      </c>
      <c r="F200" s="2">
        <v>206</v>
      </c>
      <c r="G200" s="2">
        <v>176</v>
      </c>
      <c r="H200" s="2">
        <v>149</v>
      </c>
      <c r="I200" s="2"/>
      <c r="J200" s="3">
        <f t="shared" si="3"/>
        <v>692</v>
      </c>
      <c r="L200" s="3"/>
      <c r="M200" s="3"/>
      <c r="O200" s="4"/>
      <c r="P200" s="3"/>
    </row>
    <row r="201" spans="1:16">
      <c r="A201" s="2" t="s">
        <v>331</v>
      </c>
      <c r="B201" s="2"/>
      <c r="C201" s="2"/>
      <c r="D201" s="2"/>
      <c r="E201" s="2"/>
      <c r="F201" s="2"/>
      <c r="G201" s="2"/>
      <c r="H201" s="2"/>
      <c r="I201" s="2"/>
      <c r="J201" s="3">
        <f t="shared" si="3"/>
        <v>0</v>
      </c>
      <c r="L201" s="2"/>
      <c r="M201" s="3"/>
      <c r="O201" s="4"/>
      <c r="P201" s="3"/>
    </row>
    <row r="202" spans="1:16">
      <c r="A202" s="6" t="s">
        <v>342</v>
      </c>
      <c r="B202" s="6" t="s">
        <v>66</v>
      </c>
      <c r="C202" s="6" t="s">
        <v>48</v>
      </c>
      <c r="D202" s="6">
        <v>189</v>
      </c>
      <c r="E202" s="6">
        <v>162</v>
      </c>
      <c r="F202" s="6">
        <v>264</v>
      </c>
      <c r="G202" s="6">
        <v>181</v>
      </c>
      <c r="H202" s="6">
        <v>173</v>
      </c>
      <c r="I202" s="6">
        <v>202</v>
      </c>
      <c r="J202" s="3">
        <f t="shared" si="3"/>
        <v>1171</v>
      </c>
      <c r="L202" s="6" t="s">
        <v>3</v>
      </c>
      <c r="M202" s="7">
        <f>SUM(D202:D209)</f>
        <v>844</v>
      </c>
      <c r="O202" s="8" t="str">
        <f>A202</f>
        <v xml:space="preserve">Huntingon </v>
      </c>
      <c r="P202" s="7">
        <f>SUM(M202:M207)</f>
        <v>5945</v>
      </c>
    </row>
    <row r="203" spans="1:16">
      <c r="A203" s="6" t="s">
        <v>342</v>
      </c>
      <c r="B203" s="6" t="s">
        <v>49</v>
      </c>
      <c r="C203" s="6" t="s">
        <v>343</v>
      </c>
      <c r="D203" s="6">
        <v>150</v>
      </c>
      <c r="E203" s="6">
        <v>171</v>
      </c>
      <c r="F203" s="6">
        <v>226</v>
      </c>
      <c r="G203" s="6">
        <v>236</v>
      </c>
      <c r="H203" s="6">
        <v>222</v>
      </c>
      <c r="I203" s="6">
        <v>215</v>
      </c>
      <c r="J203" s="3">
        <f t="shared" si="3"/>
        <v>1220</v>
      </c>
      <c r="L203" s="6" t="s">
        <v>4</v>
      </c>
      <c r="M203" s="7">
        <f>SUM(E202:E209)</f>
        <v>929</v>
      </c>
      <c r="O203" s="8"/>
      <c r="P203" s="7"/>
    </row>
    <row r="204" spans="1:16">
      <c r="A204" s="6" t="s">
        <v>342</v>
      </c>
      <c r="B204" s="6" t="s">
        <v>344</v>
      </c>
      <c r="C204" s="6" t="s">
        <v>345</v>
      </c>
      <c r="D204" s="6"/>
      <c r="E204" s="6">
        <v>225</v>
      </c>
      <c r="F204" s="6">
        <v>200</v>
      </c>
      <c r="G204" s="6">
        <v>218</v>
      </c>
      <c r="H204" s="6">
        <v>177</v>
      </c>
      <c r="I204" s="6">
        <v>245</v>
      </c>
      <c r="J204" s="3">
        <f t="shared" si="3"/>
        <v>1065</v>
      </c>
      <c r="L204" s="6" t="s">
        <v>5</v>
      </c>
      <c r="M204" s="7">
        <f>SUM(F202:F209)</f>
        <v>1037</v>
      </c>
      <c r="O204" s="8"/>
      <c r="P204" s="7"/>
    </row>
    <row r="205" spans="1:16">
      <c r="A205" s="6" t="s">
        <v>342</v>
      </c>
      <c r="B205" s="6" t="s">
        <v>276</v>
      </c>
      <c r="C205" s="6" t="s">
        <v>48</v>
      </c>
      <c r="D205" s="6">
        <v>190</v>
      </c>
      <c r="E205" s="6">
        <v>172</v>
      </c>
      <c r="F205" s="6">
        <v>149</v>
      </c>
      <c r="G205" s="6"/>
      <c r="H205" s="6"/>
      <c r="I205" s="6"/>
      <c r="J205" s="3">
        <f t="shared" si="3"/>
        <v>511</v>
      </c>
      <c r="L205" s="6" t="s">
        <v>6</v>
      </c>
      <c r="M205" s="7">
        <f>SUM(G202:G209)</f>
        <v>1006</v>
      </c>
      <c r="O205" s="8"/>
      <c r="P205" s="7"/>
    </row>
    <row r="206" spans="1:16">
      <c r="A206" s="6" t="s">
        <v>342</v>
      </c>
      <c r="B206" s="6" t="s">
        <v>313</v>
      </c>
      <c r="C206" s="6" t="s">
        <v>346</v>
      </c>
      <c r="D206" s="6">
        <v>141</v>
      </c>
      <c r="E206" s="6"/>
      <c r="F206" s="6"/>
      <c r="G206" s="6">
        <v>217</v>
      </c>
      <c r="H206" s="6">
        <v>244</v>
      </c>
      <c r="I206" s="6">
        <v>183</v>
      </c>
      <c r="J206" s="3">
        <f t="shared" si="3"/>
        <v>785</v>
      </c>
      <c r="L206" s="6" t="s">
        <v>7</v>
      </c>
      <c r="M206" s="7">
        <f>SUM(H202:H209)</f>
        <v>1026</v>
      </c>
      <c r="O206" s="8"/>
      <c r="P206" s="7"/>
    </row>
    <row r="207" spans="1:16">
      <c r="A207" s="6" t="s">
        <v>342</v>
      </c>
      <c r="B207" s="6" t="s">
        <v>347</v>
      </c>
      <c r="C207" s="6" t="s">
        <v>348</v>
      </c>
      <c r="D207" s="6"/>
      <c r="E207" s="6"/>
      <c r="F207" s="6"/>
      <c r="G207" s="6"/>
      <c r="H207" s="6">
        <v>210</v>
      </c>
      <c r="I207" s="6">
        <v>258</v>
      </c>
      <c r="J207" s="3">
        <f t="shared" si="3"/>
        <v>468</v>
      </c>
      <c r="L207" s="6" t="s">
        <v>8</v>
      </c>
      <c r="M207" s="7">
        <f>SUM(I202:I209)</f>
        <v>1103</v>
      </c>
      <c r="O207" s="8"/>
      <c r="P207" s="7"/>
    </row>
    <row r="208" spans="1:16">
      <c r="A208" s="6" t="s">
        <v>342</v>
      </c>
      <c r="B208" s="6" t="s">
        <v>349</v>
      </c>
      <c r="C208" s="6" t="s">
        <v>350</v>
      </c>
      <c r="D208" s="6"/>
      <c r="E208" s="6"/>
      <c r="F208" s="6"/>
      <c r="G208" s="6"/>
      <c r="H208" s="6"/>
      <c r="I208" s="6"/>
      <c r="J208" s="3">
        <f t="shared" si="3"/>
        <v>0</v>
      </c>
      <c r="L208" s="6"/>
      <c r="M208" s="7"/>
      <c r="O208" s="8"/>
      <c r="P208" s="7"/>
    </row>
    <row r="209" spans="1:16">
      <c r="A209" s="6" t="s">
        <v>342</v>
      </c>
      <c r="B209" s="6" t="s">
        <v>351</v>
      </c>
      <c r="C209" s="6" t="s">
        <v>352</v>
      </c>
      <c r="D209" s="6">
        <v>174</v>
      </c>
      <c r="E209" s="6">
        <v>199</v>
      </c>
      <c r="F209" s="6">
        <v>198</v>
      </c>
      <c r="G209" s="6">
        <v>154</v>
      </c>
      <c r="H209" s="6"/>
      <c r="I209" s="6"/>
      <c r="J209" s="3">
        <f t="shared" si="3"/>
        <v>725</v>
      </c>
      <c r="L209" s="6"/>
      <c r="M209" s="7"/>
      <c r="O209" s="8"/>
      <c r="P209" s="7"/>
    </row>
    <row r="210" spans="1:16">
      <c r="A210" s="2" t="s">
        <v>353</v>
      </c>
      <c r="B210" s="2" t="s">
        <v>170</v>
      </c>
      <c r="C210" s="2" t="s">
        <v>354</v>
      </c>
      <c r="D210" s="2">
        <v>173</v>
      </c>
      <c r="E210" s="2">
        <v>153</v>
      </c>
      <c r="F210" s="2">
        <v>175</v>
      </c>
      <c r="G210" s="2">
        <v>170</v>
      </c>
      <c r="H210" s="2">
        <v>192</v>
      </c>
      <c r="I210" s="2">
        <v>223</v>
      </c>
      <c r="J210" s="3">
        <f>SUM(D210:I210)</f>
        <v>1086</v>
      </c>
      <c r="L210" s="2" t="s">
        <v>3</v>
      </c>
      <c r="M210" s="3">
        <f>SUM(D210:D217)</f>
        <v>856</v>
      </c>
      <c r="O210" s="4" t="str">
        <f>A210</f>
        <v>Central Florida</v>
      </c>
      <c r="P210" s="3">
        <f>SUM(M210:M215)</f>
        <v>5299</v>
      </c>
    </row>
    <row r="211" spans="1:16">
      <c r="A211" s="2" t="s">
        <v>353</v>
      </c>
      <c r="B211" s="2" t="s">
        <v>355</v>
      </c>
      <c r="C211" s="2" t="s">
        <v>356</v>
      </c>
      <c r="D211" s="2">
        <v>168</v>
      </c>
      <c r="E211" s="2">
        <v>161</v>
      </c>
      <c r="F211" s="2">
        <v>218</v>
      </c>
      <c r="G211" s="2">
        <v>179</v>
      </c>
      <c r="H211" s="2">
        <v>222</v>
      </c>
      <c r="I211" s="2">
        <v>160</v>
      </c>
      <c r="J211" s="3">
        <f t="shared" ref="J211:J274" si="4">SUM(D211:I211)</f>
        <v>1108</v>
      </c>
      <c r="L211" s="2" t="s">
        <v>4</v>
      </c>
      <c r="M211" s="3">
        <f>SUM(E210:E217)</f>
        <v>784</v>
      </c>
      <c r="O211" s="4"/>
      <c r="P211" s="3"/>
    </row>
    <row r="212" spans="1:16">
      <c r="A212" s="2" t="s">
        <v>353</v>
      </c>
      <c r="B212" s="2" t="s">
        <v>357</v>
      </c>
      <c r="C212" s="2" t="s">
        <v>238</v>
      </c>
      <c r="D212" s="2">
        <v>151</v>
      </c>
      <c r="E212" s="2">
        <v>137</v>
      </c>
      <c r="F212" s="2">
        <v>189</v>
      </c>
      <c r="G212" s="2">
        <v>133</v>
      </c>
      <c r="H212" s="2"/>
      <c r="I212" s="2">
        <v>213</v>
      </c>
      <c r="J212" s="3">
        <f t="shared" si="4"/>
        <v>823</v>
      </c>
      <c r="L212" s="2" t="s">
        <v>5</v>
      </c>
      <c r="M212" s="3">
        <f>SUM(F210:F217)</f>
        <v>931</v>
      </c>
      <c r="O212" s="4"/>
      <c r="P212" s="3"/>
    </row>
    <row r="213" spans="1:16">
      <c r="A213" s="2" t="s">
        <v>353</v>
      </c>
      <c r="B213" s="2" t="s">
        <v>358</v>
      </c>
      <c r="C213" s="2" t="s">
        <v>359</v>
      </c>
      <c r="D213" s="2"/>
      <c r="E213" s="2"/>
      <c r="F213" s="2"/>
      <c r="G213" s="2"/>
      <c r="H213" s="2">
        <v>183</v>
      </c>
      <c r="I213" s="2"/>
      <c r="J213" s="3">
        <f t="shared" si="4"/>
        <v>183</v>
      </c>
      <c r="L213" s="2" t="s">
        <v>6</v>
      </c>
      <c r="M213" s="3">
        <f>SUM(G210:G217)</f>
        <v>839</v>
      </c>
      <c r="O213" s="4"/>
      <c r="P213" s="3"/>
    </row>
    <row r="214" spans="1:16">
      <c r="A214" s="2" t="s">
        <v>353</v>
      </c>
      <c r="B214" s="2" t="s">
        <v>322</v>
      </c>
      <c r="C214" s="2" t="s">
        <v>360</v>
      </c>
      <c r="D214" s="2"/>
      <c r="E214" s="2"/>
      <c r="F214" s="2"/>
      <c r="G214" s="2"/>
      <c r="H214" s="2">
        <v>146</v>
      </c>
      <c r="I214" s="2"/>
      <c r="J214" s="3">
        <f t="shared" si="4"/>
        <v>146</v>
      </c>
      <c r="L214" s="2" t="s">
        <v>7</v>
      </c>
      <c r="M214" s="3">
        <f>SUM(H210:H217)</f>
        <v>920</v>
      </c>
      <c r="O214" s="4"/>
      <c r="P214" s="3"/>
    </row>
    <row r="215" spans="1:16">
      <c r="A215" s="2" t="s">
        <v>353</v>
      </c>
      <c r="B215" s="2" t="s">
        <v>361</v>
      </c>
      <c r="C215" s="2" t="s">
        <v>48</v>
      </c>
      <c r="D215" s="2">
        <v>175</v>
      </c>
      <c r="E215" s="2">
        <v>165</v>
      </c>
      <c r="F215" s="2">
        <v>181</v>
      </c>
      <c r="G215" s="2">
        <v>146</v>
      </c>
      <c r="H215" s="2"/>
      <c r="I215" s="2">
        <v>168</v>
      </c>
      <c r="J215" s="3">
        <f t="shared" si="4"/>
        <v>835</v>
      </c>
      <c r="L215" s="2" t="s">
        <v>8</v>
      </c>
      <c r="M215" s="3">
        <f>SUM(I210:I217)</f>
        <v>969</v>
      </c>
      <c r="O215" s="4"/>
      <c r="P215" s="3"/>
    </row>
    <row r="216" spans="1:16">
      <c r="A216" s="2" t="s">
        <v>353</v>
      </c>
      <c r="B216" s="2" t="s">
        <v>59</v>
      </c>
      <c r="C216" s="2" t="s">
        <v>362</v>
      </c>
      <c r="D216" s="2">
        <v>189</v>
      </c>
      <c r="E216" s="2">
        <v>168</v>
      </c>
      <c r="F216" s="2">
        <v>168</v>
      </c>
      <c r="G216" s="2">
        <v>211</v>
      </c>
      <c r="H216" s="2">
        <v>177</v>
      </c>
      <c r="I216" s="2">
        <v>205</v>
      </c>
      <c r="J216" s="3">
        <f t="shared" si="4"/>
        <v>1118</v>
      </c>
      <c r="L216" s="3"/>
      <c r="M216" s="3"/>
      <c r="O216" s="4"/>
      <c r="P216" s="3"/>
    </row>
    <row r="217" spans="1:16">
      <c r="A217" s="2" t="s">
        <v>353</v>
      </c>
      <c r="B217" s="2"/>
      <c r="C217" s="2"/>
      <c r="D217" s="2"/>
      <c r="E217" s="2"/>
      <c r="F217" s="2"/>
      <c r="G217" s="2"/>
      <c r="H217" s="2"/>
      <c r="I217" s="2"/>
      <c r="J217" s="3">
        <f t="shared" si="4"/>
        <v>0</v>
      </c>
      <c r="L217" s="2"/>
      <c r="M217" s="3"/>
      <c r="O217" s="4"/>
      <c r="P217" s="3"/>
    </row>
    <row r="218" spans="1:16">
      <c r="A218" s="6" t="s">
        <v>363</v>
      </c>
      <c r="B218" s="6" t="s">
        <v>170</v>
      </c>
      <c r="C218" s="6" t="s">
        <v>364</v>
      </c>
      <c r="D218" s="6">
        <v>126</v>
      </c>
      <c r="E218" s="6">
        <v>142</v>
      </c>
      <c r="F218" s="6">
        <v>171</v>
      </c>
      <c r="G218" s="6">
        <v>168</v>
      </c>
      <c r="H218" s="6">
        <v>211</v>
      </c>
      <c r="I218" s="6">
        <v>223</v>
      </c>
      <c r="J218" s="3">
        <f t="shared" si="4"/>
        <v>1041</v>
      </c>
      <c r="L218" s="6" t="s">
        <v>3</v>
      </c>
      <c r="M218" s="7">
        <f>SUM(D218:D225)</f>
        <v>814</v>
      </c>
      <c r="O218" s="8" t="str">
        <f>A218</f>
        <v>Kansas Wesleyan</v>
      </c>
      <c r="P218" s="7">
        <f>SUM(M218:M223)</f>
        <v>5115</v>
      </c>
    </row>
    <row r="219" spans="1:16">
      <c r="A219" s="6" t="s">
        <v>363</v>
      </c>
      <c r="B219" s="6" t="s">
        <v>234</v>
      </c>
      <c r="C219" s="6" t="s">
        <v>365</v>
      </c>
      <c r="D219" s="6">
        <v>180</v>
      </c>
      <c r="E219" s="6">
        <v>166</v>
      </c>
      <c r="F219" s="6">
        <v>192</v>
      </c>
      <c r="G219" s="6">
        <v>175</v>
      </c>
      <c r="H219" s="6">
        <v>161</v>
      </c>
      <c r="I219" s="6">
        <v>147</v>
      </c>
      <c r="J219" s="3">
        <f t="shared" si="4"/>
        <v>1021</v>
      </c>
      <c r="L219" s="6" t="s">
        <v>4</v>
      </c>
      <c r="M219" s="7">
        <f>SUM(E218:E225)</f>
        <v>768</v>
      </c>
      <c r="O219" s="8"/>
      <c r="P219" s="7"/>
    </row>
    <row r="220" spans="1:16">
      <c r="A220" s="6" t="s">
        <v>363</v>
      </c>
      <c r="B220" s="6" t="s">
        <v>79</v>
      </c>
      <c r="C220" s="6" t="s">
        <v>366</v>
      </c>
      <c r="D220" s="6">
        <v>151</v>
      </c>
      <c r="E220" s="6">
        <v>151</v>
      </c>
      <c r="F220" s="6">
        <v>138</v>
      </c>
      <c r="G220" s="6">
        <v>221</v>
      </c>
      <c r="H220" s="6">
        <v>165</v>
      </c>
      <c r="I220" s="6">
        <v>153</v>
      </c>
      <c r="J220" s="3">
        <f t="shared" si="4"/>
        <v>979</v>
      </c>
      <c r="L220" s="6" t="s">
        <v>5</v>
      </c>
      <c r="M220" s="7">
        <f>SUM(F218:F225)</f>
        <v>808</v>
      </c>
      <c r="O220" s="8"/>
      <c r="P220" s="7"/>
    </row>
    <row r="221" spans="1:16">
      <c r="A221" s="6" t="s">
        <v>363</v>
      </c>
      <c r="B221" s="6" t="s">
        <v>55</v>
      </c>
      <c r="C221" s="6" t="s">
        <v>367</v>
      </c>
      <c r="D221" s="6">
        <v>212</v>
      </c>
      <c r="E221" s="6">
        <v>160</v>
      </c>
      <c r="F221" s="6">
        <v>154</v>
      </c>
      <c r="G221" s="6">
        <v>176</v>
      </c>
      <c r="H221" s="6">
        <v>169</v>
      </c>
      <c r="I221" s="6">
        <v>223</v>
      </c>
      <c r="J221" s="3">
        <f t="shared" si="4"/>
        <v>1094</v>
      </c>
      <c r="L221" s="6" t="s">
        <v>6</v>
      </c>
      <c r="M221" s="7">
        <f>SUM(G218:G225)</f>
        <v>927</v>
      </c>
      <c r="O221" s="8"/>
      <c r="P221" s="7"/>
    </row>
    <row r="222" spans="1:16">
      <c r="A222" s="6" t="s">
        <v>363</v>
      </c>
      <c r="B222" s="6" t="s">
        <v>368</v>
      </c>
      <c r="C222" s="6" t="s">
        <v>369</v>
      </c>
      <c r="D222" s="6">
        <v>145</v>
      </c>
      <c r="E222" s="6"/>
      <c r="F222" s="6">
        <v>153</v>
      </c>
      <c r="G222" s="6">
        <v>187</v>
      </c>
      <c r="H222" s="6">
        <v>158</v>
      </c>
      <c r="I222" s="6">
        <v>188</v>
      </c>
      <c r="J222" s="3">
        <f t="shared" si="4"/>
        <v>831</v>
      </c>
      <c r="L222" s="6" t="s">
        <v>7</v>
      </c>
      <c r="M222" s="7">
        <f>SUM(H218:H225)</f>
        <v>864</v>
      </c>
      <c r="O222" s="8"/>
      <c r="P222" s="7"/>
    </row>
    <row r="223" spans="1:16">
      <c r="A223" s="6" t="s">
        <v>363</v>
      </c>
      <c r="B223" s="6" t="s">
        <v>370</v>
      </c>
      <c r="C223" s="6" t="s">
        <v>371</v>
      </c>
      <c r="D223" s="6"/>
      <c r="E223" s="6"/>
      <c r="F223" s="6"/>
      <c r="G223" s="6"/>
      <c r="H223" s="6"/>
      <c r="I223" s="6"/>
      <c r="J223" s="3">
        <f t="shared" si="4"/>
        <v>0</v>
      </c>
      <c r="L223" s="6" t="s">
        <v>8</v>
      </c>
      <c r="M223" s="7">
        <f>SUM(I218:I225)</f>
        <v>934</v>
      </c>
      <c r="O223" s="8"/>
      <c r="P223" s="7"/>
    </row>
    <row r="224" spans="1:16">
      <c r="A224" s="6" t="s">
        <v>363</v>
      </c>
      <c r="B224" s="6" t="s">
        <v>59</v>
      </c>
      <c r="C224" s="6" t="s">
        <v>372</v>
      </c>
      <c r="D224" s="6"/>
      <c r="E224" s="6">
        <v>149</v>
      </c>
      <c r="F224" s="6"/>
      <c r="G224" s="6"/>
      <c r="H224" s="6"/>
      <c r="I224" s="6"/>
      <c r="J224" s="3">
        <f t="shared" si="4"/>
        <v>149</v>
      </c>
      <c r="L224" s="6"/>
      <c r="M224" s="7"/>
      <c r="O224" s="8"/>
      <c r="P224" s="7"/>
    </row>
    <row r="225" spans="1:16">
      <c r="A225" s="6" t="s">
        <v>363</v>
      </c>
      <c r="B225" s="6"/>
      <c r="C225" s="6"/>
      <c r="D225" s="6"/>
      <c r="E225" s="6"/>
      <c r="F225" s="6"/>
      <c r="G225" s="6"/>
      <c r="H225" s="6"/>
      <c r="I225" s="6"/>
      <c r="J225" s="3">
        <f t="shared" si="4"/>
        <v>0</v>
      </c>
      <c r="L225" s="6"/>
      <c r="M225" s="7"/>
      <c r="O225" s="8"/>
      <c r="P225" s="7"/>
    </row>
    <row r="226" spans="1:16">
      <c r="A226" s="2" t="s">
        <v>373</v>
      </c>
      <c r="B226" s="2" t="s">
        <v>374</v>
      </c>
      <c r="C226" s="2" t="s">
        <v>375</v>
      </c>
      <c r="D226" s="2">
        <v>154</v>
      </c>
      <c r="E226" s="2">
        <v>166</v>
      </c>
      <c r="F226" s="2">
        <v>257</v>
      </c>
      <c r="G226" s="2">
        <v>156</v>
      </c>
      <c r="H226" s="2">
        <v>182</v>
      </c>
      <c r="I226" s="2">
        <v>191</v>
      </c>
      <c r="J226" s="3">
        <f t="shared" si="4"/>
        <v>1106</v>
      </c>
      <c r="L226" s="2" t="s">
        <v>3</v>
      </c>
      <c r="M226" s="3">
        <f>SUM(D226:D233)</f>
        <v>809</v>
      </c>
      <c r="O226" s="4" t="str">
        <f>A226</f>
        <v>Alabama - Tuscaloosa</v>
      </c>
      <c r="P226" s="3">
        <f>SUM(M226:M231)</f>
        <v>5464</v>
      </c>
    </row>
    <row r="227" spans="1:16">
      <c r="A227" s="2" t="s">
        <v>373</v>
      </c>
      <c r="B227" s="2" t="s">
        <v>376</v>
      </c>
      <c r="C227" s="2" t="s">
        <v>377</v>
      </c>
      <c r="D227" s="2">
        <v>175</v>
      </c>
      <c r="E227" s="2">
        <v>177</v>
      </c>
      <c r="F227" s="2">
        <v>205</v>
      </c>
      <c r="G227" s="2">
        <v>203</v>
      </c>
      <c r="H227" s="2">
        <v>191</v>
      </c>
      <c r="I227" s="2">
        <v>206</v>
      </c>
      <c r="J227" s="3">
        <f t="shared" si="4"/>
        <v>1157</v>
      </c>
      <c r="L227" s="2" t="s">
        <v>4</v>
      </c>
      <c r="M227" s="3">
        <f>SUM(E226:E233)</f>
        <v>811</v>
      </c>
      <c r="O227" s="4"/>
      <c r="P227" s="3"/>
    </row>
    <row r="228" spans="1:16">
      <c r="A228" s="2" t="s">
        <v>373</v>
      </c>
      <c r="B228" s="2" t="s">
        <v>206</v>
      </c>
      <c r="C228" s="2" t="s">
        <v>126</v>
      </c>
      <c r="D228" s="2">
        <v>122</v>
      </c>
      <c r="E228" s="2"/>
      <c r="F228" s="2">
        <v>176</v>
      </c>
      <c r="G228" s="2">
        <v>220</v>
      </c>
      <c r="H228" s="2">
        <v>222</v>
      </c>
      <c r="I228" s="2">
        <v>206</v>
      </c>
      <c r="J228" s="3">
        <f t="shared" si="4"/>
        <v>946</v>
      </c>
      <c r="L228" s="2" t="s">
        <v>5</v>
      </c>
      <c r="M228" s="3">
        <f>SUM(F226:F233)</f>
        <v>973</v>
      </c>
      <c r="O228" s="4"/>
      <c r="P228" s="3"/>
    </row>
    <row r="229" spans="1:16">
      <c r="A229" s="2" t="s">
        <v>373</v>
      </c>
      <c r="B229" s="2" t="s">
        <v>378</v>
      </c>
      <c r="C229" s="2" t="s">
        <v>379</v>
      </c>
      <c r="D229" s="2">
        <v>189</v>
      </c>
      <c r="E229" s="2">
        <v>187</v>
      </c>
      <c r="F229" s="2">
        <v>157</v>
      </c>
      <c r="G229" s="2">
        <v>179</v>
      </c>
      <c r="H229" s="2">
        <v>208</v>
      </c>
      <c r="I229" s="2">
        <v>200</v>
      </c>
      <c r="J229" s="3">
        <f t="shared" si="4"/>
        <v>1120</v>
      </c>
      <c r="L229" s="2" t="s">
        <v>6</v>
      </c>
      <c r="M229" s="3">
        <f>SUM(G226:G233)</f>
        <v>898</v>
      </c>
      <c r="O229" s="4"/>
      <c r="P229" s="3"/>
    </row>
    <row r="230" spans="1:16">
      <c r="A230" s="2" t="s">
        <v>373</v>
      </c>
      <c r="B230" s="2" t="s">
        <v>380</v>
      </c>
      <c r="C230" s="2" t="s">
        <v>381</v>
      </c>
      <c r="D230" s="2"/>
      <c r="E230" s="2"/>
      <c r="F230" s="2"/>
      <c r="G230" s="2"/>
      <c r="H230" s="2"/>
      <c r="I230" s="2"/>
      <c r="J230" s="3">
        <f t="shared" si="4"/>
        <v>0</v>
      </c>
      <c r="L230" s="2" t="s">
        <v>7</v>
      </c>
      <c r="M230" s="3">
        <f>SUM(H226:H233)</f>
        <v>983</v>
      </c>
      <c r="O230" s="4"/>
      <c r="P230" s="3"/>
    </row>
    <row r="231" spans="1:16">
      <c r="A231" s="2" t="s">
        <v>373</v>
      </c>
      <c r="B231" s="2" t="s">
        <v>36</v>
      </c>
      <c r="C231" s="2" t="s">
        <v>382</v>
      </c>
      <c r="D231" s="2"/>
      <c r="E231" s="2"/>
      <c r="F231" s="2"/>
      <c r="G231" s="2"/>
      <c r="H231" s="2"/>
      <c r="I231" s="2"/>
      <c r="J231" s="3">
        <f t="shared" si="4"/>
        <v>0</v>
      </c>
      <c r="L231" s="2" t="s">
        <v>8</v>
      </c>
      <c r="M231" s="3">
        <f>SUM(I226:I233)</f>
        <v>990</v>
      </c>
      <c r="O231" s="4"/>
      <c r="P231" s="3"/>
    </row>
    <row r="232" spans="1:16">
      <c r="A232" s="2" t="s">
        <v>373</v>
      </c>
      <c r="B232" s="2" t="s">
        <v>383</v>
      </c>
      <c r="C232" s="2" t="s">
        <v>384</v>
      </c>
      <c r="D232" s="2">
        <v>169</v>
      </c>
      <c r="E232" s="2">
        <v>142</v>
      </c>
      <c r="F232" s="2">
        <v>178</v>
      </c>
      <c r="G232" s="2">
        <v>140</v>
      </c>
      <c r="H232" s="2">
        <v>180</v>
      </c>
      <c r="I232" s="2">
        <v>187</v>
      </c>
      <c r="J232" s="3">
        <f t="shared" si="4"/>
        <v>996</v>
      </c>
      <c r="L232" s="3"/>
      <c r="M232" s="3"/>
      <c r="O232" s="4"/>
      <c r="P232" s="3"/>
    </row>
    <row r="233" spans="1:16">
      <c r="A233" s="2" t="s">
        <v>373</v>
      </c>
      <c r="B233" s="2" t="s">
        <v>385</v>
      </c>
      <c r="C233" s="2" t="s">
        <v>386</v>
      </c>
      <c r="D233" s="2"/>
      <c r="E233" s="2">
        <v>139</v>
      </c>
      <c r="F233" s="2"/>
      <c r="G233" s="2"/>
      <c r="H233" s="2"/>
      <c r="I233" s="2"/>
      <c r="J233" s="3">
        <f t="shared" si="4"/>
        <v>139</v>
      </c>
      <c r="L233" s="2"/>
      <c r="M233" s="3"/>
      <c r="O233" s="4"/>
      <c r="P233" s="3"/>
    </row>
    <row r="234" spans="1:16">
      <c r="A234" s="6" t="s">
        <v>387</v>
      </c>
      <c r="B234" s="6" t="s">
        <v>388</v>
      </c>
      <c r="C234" s="6" t="s">
        <v>389</v>
      </c>
      <c r="D234" s="6"/>
      <c r="E234" s="6"/>
      <c r="F234" s="6"/>
      <c r="G234" s="6"/>
      <c r="H234" s="6"/>
      <c r="I234" s="6"/>
      <c r="J234" s="3">
        <f t="shared" si="4"/>
        <v>0</v>
      </c>
      <c r="L234" s="6" t="s">
        <v>3</v>
      </c>
      <c r="M234" s="7">
        <f>SUM(D234:D241)</f>
        <v>744</v>
      </c>
      <c r="O234" s="8" t="str">
        <f>A234</f>
        <v>Canisius</v>
      </c>
      <c r="P234" s="7">
        <f>SUM(M234:M239)</f>
        <v>4898</v>
      </c>
    </row>
    <row r="235" spans="1:16">
      <c r="A235" s="6" t="s">
        <v>387</v>
      </c>
      <c r="B235" s="6" t="s">
        <v>390</v>
      </c>
      <c r="C235" s="6" t="s">
        <v>391</v>
      </c>
      <c r="D235" s="6">
        <v>172</v>
      </c>
      <c r="E235" s="6">
        <v>165</v>
      </c>
      <c r="F235" s="6">
        <v>160</v>
      </c>
      <c r="G235" s="6">
        <v>176</v>
      </c>
      <c r="H235" s="6">
        <v>266</v>
      </c>
      <c r="I235" s="6">
        <v>192</v>
      </c>
      <c r="J235" s="3">
        <f t="shared" si="4"/>
        <v>1131</v>
      </c>
      <c r="L235" s="6" t="s">
        <v>4</v>
      </c>
      <c r="M235" s="7">
        <f>SUM(E234:E241)</f>
        <v>754</v>
      </c>
      <c r="O235" s="8"/>
      <c r="P235" s="7"/>
    </row>
    <row r="236" spans="1:16">
      <c r="A236" s="6" t="s">
        <v>387</v>
      </c>
      <c r="B236" s="6" t="s">
        <v>392</v>
      </c>
      <c r="C236" s="6" t="s">
        <v>393</v>
      </c>
      <c r="D236" s="6">
        <v>143</v>
      </c>
      <c r="E236" s="6">
        <v>143</v>
      </c>
      <c r="F236" s="6">
        <v>157</v>
      </c>
      <c r="G236" s="6">
        <v>138</v>
      </c>
      <c r="H236" s="6">
        <v>128</v>
      </c>
      <c r="I236" s="6">
        <v>147</v>
      </c>
      <c r="J236" s="3">
        <f t="shared" si="4"/>
        <v>856</v>
      </c>
      <c r="L236" s="6" t="s">
        <v>5</v>
      </c>
      <c r="M236" s="7">
        <f>SUM(F234:F241)</f>
        <v>838</v>
      </c>
      <c r="O236" s="8"/>
      <c r="P236" s="7"/>
    </row>
    <row r="237" spans="1:16">
      <c r="A237" s="6" t="s">
        <v>387</v>
      </c>
      <c r="B237" s="6" t="s">
        <v>394</v>
      </c>
      <c r="C237" s="6" t="s">
        <v>395</v>
      </c>
      <c r="D237" s="6">
        <v>170</v>
      </c>
      <c r="E237" s="6">
        <v>144</v>
      </c>
      <c r="F237" s="6">
        <v>153</v>
      </c>
      <c r="G237" s="6">
        <v>174</v>
      </c>
      <c r="H237" s="6">
        <v>129</v>
      </c>
      <c r="I237" s="6">
        <v>160</v>
      </c>
      <c r="J237" s="3">
        <f t="shared" si="4"/>
        <v>930</v>
      </c>
      <c r="L237" s="6" t="s">
        <v>6</v>
      </c>
      <c r="M237" s="7">
        <f>SUM(G234:G241)</f>
        <v>812</v>
      </c>
      <c r="O237" s="8"/>
      <c r="P237" s="7"/>
    </row>
    <row r="238" spans="1:16">
      <c r="A238" s="6" t="s">
        <v>387</v>
      </c>
      <c r="B238" s="6" t="s">
        <v>89</v>
      </c>
      <c r="C238" s="6" t="s">
        <v>396</v>
      </c>
      <c r="D238" s="6"/>
      <c r="E238" s="6"/>
      <c r="F238" s="6"/>
      <c r="G238" s="6"/>
      <c r="H238" s="6"/>
      <c r="I238" s="6"/>
      <c r="J238" s="3">
        <f t="shared" si="4"/>
        <v>0</v>
      </c>
      <c r="L238" s="6" t="s">
        <v>7</v>
      </c>
      <c r="M238" s="7">
        <f>SUM(H234:H241)</f>
        <v>868</v>
      </c>
      <c r="O238" s="8"/>
      <c r="P238" s="7"/>
    </row>
    <row r="239" spans="1:16">
      <c r="A239" s="6" t="s">
        <v>387</v>
      </c>
      <c r="B239" s="6" t="s">
        <v>322</v>
      </c>
      <c r="C239" s="6" t="s">
        <v>397</v>
      </c>
      <c r="D239" s="6">
        <v>114</v>
      </c>
      <c r="E239" s="6">
        <v>126</v>
      </c>
      <c r="F239" s="6">
        <v>192</v>
      </c>
      <c r="G239" s="6">
        <v>182</v>
      </c>
      <c r="H239" s="6">
        <v>173</v>
      </c>
      <c r="I239" s="6">
        <v>191</v>
      </c>
      <c r="J239" s="3">
        <f t="shared" si="4"/>
        <v>978</v>
      </c>
      <c r="L239" s="6" t="s">
        <v>8</v>
      </c>
      <c r="M239" s="7">
        <f>SUM(I234:I241)</f>
        <v>882</v>
      </c>
      <c r="O239" s="8"/>
      <c r="P239" s="7"/>
    </row>
    <row r="240" spans="1:16">
      <c r="A240" s="6" t="s">
        <v>387</v>
      </c>
      <c r="B240" s="6" t="s">
        <v>398</v>
      </c>
      <c r="C240" s="6" t="s">
        <v>399</v>
      </c>
      <c r="D240" s="6">
        <v>145</v>
      </c>
      <c r="E240" s="6">
        <v>176</v>
      </c>
      <c r="F240" s="6">
        <v>176</v>
      </c>
      <c r="G240" s="6">
        <v>142</v>
      </c>
      <c r="H240" s="6">
        <v>172</v>
      </c>
      <c r="I240" s="6">
        <v>192</v>
      </c>
      <c r="J240" s="3">
        <f t="shared" si="4"/>
        <v>1003</v>
      </c>
      <c r="L240" s="6"/>
      <c r="M240" s="7"/>
      <c r="O240" s="8"/>
      <c r="P240" s="7"/>
    </row>
    <row r="241" spans="1:16">
      <c r="A241" s="6" t="s">
        <v>387</v>
      </c>
      <c r="B241" s="6" t="s">
        <v>400</v>
      </c>
      <c r="C241" s="6" t="s">
        <v>401</v>
      </c>
      <c r="D241" s="6"/>
      <c r="E241" s="6"/>
      <c r="F241" s="6"/>
      <c r="G241" s="6"/>
      <c r="H241" s="6"/>
      <c r="I241" s="6"/>
      <c r="J241" s="3">
        <f t="shared" si="4"/>
        <v>0</v>
      </c>
      <c r="L241" s="6"/>
      <c r="M241" s="7"/>
      <c r="O241" s="8"/>
      <c r="P241" s="7"/>
    </row>
    <row r="242" spans="1:16">
      <c r="A242" s="2" t="s">
        <v>402</v>
      </c>
      <c r="B242" s="2" t="s">
        <v>403</v>
      </c>
      <c r="C242" s="2" t="s">
        <v>404</v>
      </c>
      <c r="D242" s="2">
        <v>153</v>
      </c>
      <c r="E242" s="2">
        <v>133</v>
      </c>
      <c r="F242" s="2">
        <v>131</v>
      </c>
      <c r="G242" s="2">
        <v>157</v>
      </c>
      <c r="H242" s="2">
        <v>146</v>
      </c>
      <c r="I242" s="2">
        <v>122</v>
      </c>
      <c r="J242" s="3">
        <f t="shared" si="4"/>
        <v>842</v>
      </c>
      <c r="L242" s="2" t="s">
        <v>3</v>
      </c>
      <c r="M242" s="3">
        <f>SUM(D242:D249)</f>
        <v>679</v>
      </c>
      <c r="O242" s="4" t="str">
        <f>A242</f>
        <v>Madonna University</v>
      </c>
      <c r="P242" s="3">
        <f>SUM(M242:M247)</f>
        <v>3964</v>
      </c>
    </row>
    <row r="243" spans="1:16">
      <c r="A243" s="2" t="s">
        <v>402</v>
      </c>
      <c r="B243" s="2" t="s">
        <v>250</v>
      </c>
      <c r="C243" s="2" t="s">
        <v>405</v>
      </c>
      <c r="D243" s="2">
        <v>153</v>
      </c>
      <c r="E243" s="2">
        <v>143</v>
      </c>
      <c r="F243" s="2">
        <v>120</v>
      </c>
      <c r="G243" s="2">
        <v>139</v>
      </c>
      <c r="H243" s="2">
        <v>145</v>
      </c>
      <c r="I243" s="2">
        <v>142</v>
      </c>
      <c r="J243" s="3">
        <f t="shared" si="4"/>
        <v>842</v>
      </c>
      <c r="L243" s="2" t="s">
        <v>4</v>
      </c>
      <c r="M243" s="3">
        <f>SUM(E242:E249)</f>
        <v>632</v>
      </c>
      <c r="O243" s="4"/>
      <c r="P243" s="3"/>
    </row>
    <row r="244" spans="1:16">
      <c r="A244" s="2" t="s">
        <v>402</v>
      </c>
      <c r="B244" s="2" t="s">
        <v>406</v>
      </c>
      <c r="C244" s="2" t="s">
        <v>407</v>
      </c>
      <c r="D244" s="2">
        <v>173</v>
      </c>
      <c r="E244" s="2">
        <v>170</v>
      </c>
      <c r="F244" s="2">
        <v>191</v>
      </c>
      <c r="G244" s="2">
        <v>164</v>
      </c>
      <c r="H244" s="2">
        <v>188</v>
      </c>
      <c r="I244" s="2">
        <v>192</v>
      </c>
      <c r="J244" s="3">
        <f t="shared" si="4"/>
        <v>1078</v>
      </c>
      <c r="L244" s="2" t="s">
        <v>5</v>
      </c>
      <c r="M244" s="3">
        <f>SUM(F242:F249)</f>
        <v>597</v>
      </c>
      <c r="O244" s="4"/>
      <c r="P244" s="3"/>
    </row>
    <row r="245" spans="1:16">
      <c r="A245" s="2" t="s">
        <v>402</v>
      </c>
      <c r="B245" s="2" t="s">
        <v>408</v>
      </c>
      <c r="C245" s="2" t="s">
        <v>409</v>
      </c>
      <c r="D245" s="2"/>
      <c r="E245" s="2"/>
      <c r="F245" s="2"/>
      <c r="G245" s="2"/>
      <c r="H245" s="2"/>
      <c r="I245" s="2"/>
      <c r="J245" s="3">
        <f t="shared" si="4"/>
        <v>0</v>
      </c>
      <c r="L245" s="2" t="s">
        <v>6</v>
      </c>
      <c r="M245" s="3">
        <f>SUM(G242:G249)</f>
        <v>672</v>
      </c>
      <c r="O245" s="4"/>
      <c r="P245" s="3"/>
    </row>
    <row r="246" spans="1:16">
      <c r="A246" s="2" t="s">
        <v>402</v>
      </c>
      <c r="B246" s="2" t="s">
        <v>30</v>
      </c>
      <c r="C246" s="2" t="s">
        <v>410</v>
      </c>
      <c r="D246" s="2"/>
      <c r="E246" s="2"/>
      <c r="F246" s="2"/>
      <c r="G246" s="2"/>
      <c r="H246" s="2"/>
      <c r="I246" s="2"/>
      <c r="J246" s="3">
        <f t="shared" si="4"/>
        <v>0</v>
      </c>
      <c r="L246" s="2" t="s">
        <v>7</v>
      </c>
      <c r="M246" s="3">
        <f>SUM(H242:H249)</f>
        <v>684</v>
      </c>
      <c r="O246" s="4"/>
      <c r="P246" s="3"/>
    </row>
    <row r="247" spans="1:16">
      <c r="A247" s="2" t="s">
        <v>402</v>
      </c>
      <c r="B247" s="2" t="s">
        <v>411</v>
      </c>
      <c r="C247" s="2" t="s">
        <v>412</v>
      </c>
      <c r="D247" s="2">
        <v>200</v>
      </c>
      <c r="E247" s="2">
        <v>186</v>
      </c>
      <c r="F247" s="2">
        <v>155</v>
      </c>
      <c r="G247" s="2">
        <v>212</v>
      </c>
      <c r="H247" s="2">
        <v>205</v>
      </c>
      <c r="I247" s="2">
        <v>244</v>
      </c>
      <c r="J247" s="3">
        <f t="shared" si="4"/>
        <v>1202</v>
      </c>
      <c r="L247" s="2" t="s">
        <v>8</v>
      </c>
      <c r="M247" s="3">
        <f>SUM(I242:I249)</f>
        <v>700</v>
      </c>
      <c r="O247" s="4"/>
      <c r="P247" s="3"/>
    </row>
    <row r="248" spans="1:16">
      <c r="A248" s="2" t="s">
        <v>402</v>
      </c>
      <c r="B248" s="2"/>
      <c r="C248" s="2"/>
      <c r="D248" s="2"/>
      <c r="E248" s="2"/>
      <c r="F248" s="2"/>
      <c r="G248" s="2"/>
      <c r="H248" s="2"/>
      <c r="I248" s="2"/>
      <c r="J248" s="3">
        <f t="shared" si="4"/>
        <v>0</v>
      </c>
      <c r="L248" s="3"/>
      <c r="M248" s="3"/>
      <c r="O248" s="4"/>
      <c r="P248" s="3"/>
    </row>
    <row r="249" spans="1:16">
      <c r="A249" s="2" t="s">
        <v>402</v>
      </c>
      <c r="B249" s="2"/>
      <c r="C249" s="2"/>
      <c r="D249" s="2"/>
      <c r="E249" s="2"/>
      <c r="F249" s="2"/>
      <c r="G249" s="2"/>
      <c r="H249" s="2"/>
      <c r="I249" s="2"/>
      <c r="J249" s="3">
        <f t="shared" si="4"/>
        <v>0</v>
      </c>
      <c r="L249" s="2"/>
      <c r="M249" s="3"/>
      <c r="O249" s="4"/>
      <c r="P249" s="3"/>
    </row>
    <row r="250" spans="1:16">
      <c r="A250" s="6" t="s">
        <v>413</v>
      </c>
      <c r="B250" s="6" t="s">
        <v>45</v>
      </c>
      <c r="C250" s="6" t="s">
        <v>414</v>
      </c>
      <c r="D250" s="6"/>
      <c r="E250" s="6"/>
      <c r="F250" s="6"/>
      <c r="G250" s="6">
        <v>255</v>
      </c>
      <c r="H250" s="6">
        <v>183</v>
      </c>
      <c r="I250" s="6">
        <v>216</v>
      </c>
      <c r="J250" s="3">
        <f t="shared" si="4"/>
        <v>654</v>
      </c>
      <c r="L250" s="6" t="s">
        <v>3</v>
      </c>
      <c r="M250" s="7">
        <f>SUM(D250:D257)</f>
        <v>965</v>
      </c>
      <c r="O250" s="8" t="str">
        <f>A250</f>
        <v>Calumet</v>
      </c>
      <c r="P250" s="7">
        <f>SUM(M250:M255)</f>
        <v>6275</v>
      </c>
    </row>
    <row r="251" spans="1:16">
      <c r="A251" s="6" t="s">
        <v>413</v>
      </c>
      <c r="B251" s="6" t="s">
        <v>30</v>
      </c>
      <c r="C251" s="6" t="s">
        <v>415</v>
      </c>
      <c r="D251" s="6"/>
      <c r="E251" s="6"/>
      <c r="F251" s="6">
        <v>193</v>
      </c>
      <c r="G251" s="6">
        <v>243</v>
      </c>
      <c r="H251" s="6">
        <v>191</v>
      </c>
      <c r="I251" s="6">
        <v>219</v>
      </c>
      <c r="J251" s="3">
        <f t="shared" si="4"/>
        <v>846</v>
      </c>
      <c r="L251" s="6" t="s">
        <v>4</v>
      </c>
      <c r="M251" s="7">
        <f>SUM(E250:E257)</f>
        <v>958</v>
      </c>
      <c r="O251" s="8"/>
      <c r="P251" s="7"/>
    </row>
    <row r="252" spans="1:16">
      <c r="A252" s="6" t="s">
        <v>413</v>
      </c>
      <c r="B252" s="6" t="s">
        <v>416</v>
      </c>
      <c r="C252" s="6" t="s">
        <v>417</v>
      </c>
      <c r="D252" s="6">
        <v>135</v>
      </c>
      <c r="E252" s="6">
        <v>127</v>
      </c>
      <c r="F252" s="6"/>
      <c r="G252" s="6"/>
      <c r="H252" s="6"/>
      <c r="I252" s="6"/>
      <c r="J252" s="3">
        <f t="shared" si="4"/>
        <v>262</v>
      </c>
      <c r="L252" s="6" t="s">
        <v>5</v>
      </c>
      <c r="M252" s="7">
        <f>SUM(F250:F257)</f>
        <v>962</v>
      </c>
      <c r="O252" s="8"/>
      <c r="P252" s="7"/>
    </row>
    <row r="253" spans="1:16">
      <c r="A253" s="6" t="s">
        <v>413</v>
      </c>
      <c r="B253" s="6" t="s">
        <v>59</v>
      </c>
      <c r="C253" s="6" t="s">
        <v>418</v>
      </c>
      <c r="D253" s="6"/>
      <c r="E253" s="6"/>
      <c r="F253" s="6"/>
      <c r="G253" s="6"/>
      <c r="H253" s="6"/>
      <c r="I253" s="6"/>
      <c r="J253" s="3">
        <f t="shared" si="4"/>
        <v>0</v>
      </c>
      <c r="L253" s="6" t="s">
        <v>6</v>
      </c>
      <c r="M253" s="7">
        <f>SUM(G250:G257)</f>
        <v>1214</v>
      </c>
      <c r="O253" s="8"/>
      <c r="P253" s="7"/>
    </row>
    <row r="254" spans="1:16">
      <c r="A254" s="6" t="s">
        <v>413</v>
      </c>
      <c r="B254" s="6" t="s">
        <v>36</v>
      </c>
      <c r="C254" s="6" t="s">
        <v>419</v>
      </c>
      <c r="D254" s="6">
        <v>211</v>
      </c>
      <c r="E254" s="6">
        <v>240</v>
      </c>
      <c r="F254" s="6">
        <v>185</v>
      </c>
      <c r="G254" s="6">
        <v>234</v>
      </c>
      <c r="H254" s="6">
        <v>235</v>
      </c>
      <c r="I254" s="6">
        <v>215</v>
      </c>
      <c r="J254" s="3">
        <f t="shared" si="4"/>
        <v>1320</v>
      </c>
      <c r="L254" s="6" t="s">
        <v>7</v>
      </c>
      <c r="M254" s="7">
        <f>SUM(H250:H257)</f>
        <v>1083</v>
      </c>
      <c r="O254" s="8"/>
      <c r="P254" s="7"/>
    </row>
    <row r="255" spans="1:16">
      <c r="A255" s="6" t="s">
        <v>413</v>
      </c>
      <c r="B255" s="6" t="s">
        <v>420</v>
      </c>
      <c r="C255" s="6" t="s">
        <v>421</v>
      </c>
      <c r="D255" s="6">
        <v>245</v>
      </c>
      <c r="E255" s="6">
        <v>199</v>
      </c>
      <c r="F255" s="6">
        <v>178</v>
      </c>
      <c r="G255" s="6">
        <v>247</v>
      </c>
      <c r="H255" s="6">
        <v>237</v>
      </c>
      <c r="I255" s="6">
        <v>195</v>
      </c>
      <c r="J255" s="3">
        <f t="shared" si="4"/>
        <v>1301</v>
      </c>
      <c r="L255" s="6" t="s">
        <v>8</v>
      </c>
      <c r="M255" s="7">
        <f>SUM(I250:I257)</f>
        <v>1093</v>
      </c>
      <c r="O255" s="8"/>
      <c r="P255" s="7"/>
    </row>
    <row r="256" spans="1:16">
      <c r="A256" s="6" t="s">
        <v>413</v>
      </c>
      <c r="B256" s="6" t="s">
        <v>422</v>
      </c>
      <c r="C256" s="6" t="s">
        <v>423</v>
      </c>
      <c r="D256" s="6">
        <v>199</v>
      </c>
      <c r="E256" s="6">
        <v>206</v>
      </c>
      <c r="F256" s="6">
        <v>159</v>
      </c>
      <c r="G256" s="6"/>
      <c r="H256" s="6"/>
      <c r="I256" s="6"/>
      <c r="J256" s="3">
        <f t="shared" si="4"/>
        <v>564</v>
      </c>
      <c r="L256" s="6"/>
      <c r="M256" s="7"/>
      <c r="O256" s="8"/>
      <c r="P256" s="7"/>
    </row>
    <row r="257" spans="1:16">
      <c r="A257" s="6" t="s">
        <v>413</v>
      </c>
      <c r="B257" s="6" t="s">
        <v>59</v>
      </c>
      <c r="C257" s="6" t="s">
        <v>424</v>
      </c>
      <c r="D257" s="6">
        <v>175</v>
      </c>
      <c r="E257" s="6">
        <v>186</v>
      </c>
      <c r="F257" s="6">
        <v>247</v>
      </c>
      <c r="G257" s="6">
        <v>235</v>
      </c>
      <c r="H257" s="6">
        <v>237</v>
      </c>
      <c r="I257" s="6">
        <v>248</v>
      </c>
      <c r="J257" s="3">
        <f t="shared" si="4"/>
        <v>1328</v>
      </c>
      <c r="L257" s="6"/>
      <c r="M257" s="7"/>
      <c r="O257" s="8"/>
      <c r="P257" s="7"/>
    </row>
    <row r="258" spans="1:16">
      <c r="A258" s="2" t="s">
        <v>425</v>
      </c>
      <c r="B258" s="2" t="s">
        <v>326</v>
      </c>
      <c r="C258" s="2" t="s">
        <v>426</v>
      </c>
      <c r="D258" s="2">
        <v>182</v>
      </c>
      <c r="E258" s="2">
        <v>206</v>
      </c>
      <c r="F258" s="2">
        <v>179</v>
      </c>
      <c r="G258" s="2">
        <v>167</v>
      </c>
      <c r="H258" s="2">
        <v>144</v>
      </c>
      <c r="I258" s="2"/>
      <c r="J258" s="3">
        <f t="shared" si="4"/>
        <v>878</v>
      </c>
      <c r="L258" s="2" t="s">
        <v>3</v>
      </c>
      <c r="M258" s="3">
        <f>SUM(D258:D265)</f>
        <v>888</v>
      </c>
      <c r="O258" s="4" t="str">
        <f>A258</f>
        <v>Purdue</v>
      </c>
      <c r="P258" s="3">
        <f>SUM(M258:M263)</f>
        <v>5691</v>
      </c>
    </row>
    <row r="259" spans="1:16">
      <c r="A259" s="2" t="s">
        <v>425</v>
      </c>
      <c r="B259" s="2" t="s">
        <v>326</v>
      </c>
      <c r="C259" s="2" t="s">
        <v>427</v>
      </c>
      <c r="D259" s="2"/>
      <c r="E259" s="2"/>
      <c r="F259" s="2"/>
      <c r="G259" s="2"/>
      <c r="H259" s="2"/>
      <c r="I259" s="2">
        <v>169</v>
      </c>
      <c r="J259" s="3">
        <f t="shared" si="4"/>
        <v>169</v>
      </c>
      <c r="L259" s="2" t="s">
        <v>4</v>
      </c>
      <c r="M259" s="3">
        <f>SUM(E258:E265)</f>
        <v>963</v>
      </c>
      <c r="O259" s="4"/>
      <c r="P259" s="3"/>
    </row>
    <row r="260" spans="1:16">
      <c r="A260" s="2" t="s">
        <v>425</v>
      </c>
      <c r="B260" s="2" t="s">
        <v>75</v>
      </c>
      <c r="C260" s="2" t="s">
        <v>428</v>
      </c>
      <c r="D260" s="2">
        <v>175</v>
      </c>
      <c r="E260" s="2">
        <v>211</v>
      </c>
      <c r="F260" s="2">
        <v>214</v>
      </c>
      <c r="G260" s="2">
        <v>165</v>
      </c>
      <c r="H260" s="2">
        <v>187</v>
      </c>
      <c r="I260" s="2">
        <v>236</v>
      </c>
      <c r="J260" s="3">
        <f t="shared" si="4"/>
        <v>1188</v>
      </c>
      <c r="L260" s="2" t="s">
        <v>5</v>
      </c>
      <c r="M260" s="3">
        <f>SUM(F258:F265)</f>
        <v>1014</v>
      </c>
      <c r="O260" s="4"/>
      <c r="P260" s="3"/>
    </row>
    <row r="261" spans="1:16">
      <c r="A261" s="2" t="s">
        <v>425</v>
      </c>
      <c r="B261" s="2" t="s">
        <v>429</v>
      </c>
      <c r="C261" s="2" t="s">
        <v>430</v>
      </c>
      <c r="D261" s="2">
        <v>203</v>
      </c>
      <c r="E261" s="2">
        <v>170</v>
      </c>
      <c r="F261" s="2">
        <v>199</v>
      </c>
      <c r="G261" s="2">
        <v>185</v>
      </c>
      <c r="H261" s="2">
        <v>208</v>
      </c>
      <c r="I261" s="2">
        <v>265</v>
      </c>
      <c r="J261" s="3">
        <f t="shared" si="4"/>
        <v>1230</v>
      </c>
      <c r="L261" s="2" t="s">
        <v>6</v>
      </c>
      <c r="M261" s="3">
        <f>SUM(G258:G265)</f>
        <v>853</v>
      </c>
      <c r="O261" s="4"/>
      <c r="P261" s="3"/>
    </row>
    <row r="262" spans="1:16">
      <c r="A262" s="2" t="s">
        <v>425</v>
      </c>
      <c r="B262" s="2" t="s">
        <v>431</v>
      </c>
      <c r="C262" s="2" t="s">
        <v>432</v>
      </c>
      <c r="D262" s="2"/>
      <c r="E262" s="2"/>
      <c r="F262" s="2"/>
      <c r="G262" s="2"/>
      <c r="H262" s="2"/>
      <c r="I262" s="2"/>
      <c r="J262" s="3">
        <f t="shared" si="4"/>
        <v>0</v>
      </c>
      <c r="L262" s="2" t="s">
        <v>7</v>
      </c>
      <c r="M262" s="3">
        <f>SUM(H258:H265)</f>
        <v>873</v>
      </c>
      <c r="O262" s="4"/>
      <c r="P262" s="3"/>
    </row>
    <row r="263" spans="1:16">
      <c r="A263" s="2" t="s">
        <v>425</v>
      </c>
      <c r="B263" s="2" t="s">
        <v>433</v>
      </c>
      <c r="C263" s="2" t="s">
        <v>434</v>
      </c>
      <c r="D263" s="2">
        <v>170</v>
      </c>
      <c r="E263" s="2">
        <v>194</v>
      </c>
      <c r="F263" s="2">
        <v>242</v>
      </c>
      <c r="G263" s="2">
        <v>176</v>
      </c>
      <c r="H263" s="2">
        <v>202</v>
      </c>
      <c r="I263" s="2">
        <v>209</v>
      </c>
      <c r="J263" s="3">
        <f t="shared" si="4"/>
        <v>1193</v>
      </c>
      <c r="L263" s="2" t="s">
        <v>8</v>
      </c>
      <c r="M263" s="3">
        <f>SUM(I258:I265)</f>
        <v>1100</v>
      </c>
      <c r="O263" s="4"/>
      <c r="P263" s="3"/>
    </row>
    <row r="264" spans="1:16">
      <c r="A264" s="2" t="s">
        <v>425</v>
      </c>
      <c r="B264" s="2" t="s">
        <v>435</v>
      </c>
      <c r="C264" s="2" t="s">
        <v>436</v>
      </c>
      <c r="D264" s="2"/>
      <c r="E264" s="2">
        <v>182</v>
      </c>
      <c r="F264" s="2">
        <v>180</v>
      </c>
      <c r="G264" s="2">
        <v>160</v>
      </c>
      <c r="H264" s="2">
        <v>132</v>
      </c>
      <c r="I264" s="2"/>
      <c r="J264" s="3">
        <f t="shared" si="4"/>
        <v>654</v>
      </c>
      <c r="L264" s="3"/>
      <c r="M264" s="3"/>
      <c r="O264" s="4"/>
      <c r="P264" s="3"/>
    </row>
    <row r="265" spans="1:16">
      <c r="A265" s="2" t="s">
        <v>425</v>
      </c>
      <c r="B265" s="2" t="s">
        <v>92</v>
      </c>
      <c r="C265" s="2" t="s">
        <v>437</v>
      </c>
      <c r="D265" s="2">
        <v>158</v>
      </c>
      <c r="E265" s="2"/>
      <c r="F265" s="2"/>
      <c r="G265" s="2"/>
      <c r="H265" s="2"/>
      <c r="I265" s="2">
        <v>221</v>
      </c>
      <c r="J265" s="3">
        <f t="shared" si="4"/>
        <v>379</v>
      </c>
      <c r="L265" s="2"/>
      <c r="M265" s="3"/>
      <c r="O265" s="4"/>
      <c r="P265" s="3"/>
    </row>
    <row r="266" spans="1:16">
      <c r="A266" s="6" t="s">
        <v>438</v>
      </c>
      <c r="B266" s="6" t="s">
        <v>439</v>
      </c>
      <c r="C266" s="6" t="s">
        <v>440</v>
      </c>
      <c r="D266" s="6"/>
      <c r="E266" s="6"/>
      <c r="F266" s="6"/>
      <c r="G266" s="6"/>
      <c r="H266" s="6"/>
      <c r="I266" s="6"/>
      <c r="J266" s="3">
        <f t="shared" si="4"/>
        <v>0</v>
      </c>
      <c r="L266" s="6" t="s">
        <v>3</v>
      </c>
      <c r="M266" s="7">
        <f>SUM(D266:D273)</f>
        <v>838</v>
      </c>
      <c r="O266" s="8" t="str">
        <f>A266</f>
        <v>Marian</v>
      </c>
      <c r="P266" s="7">
        <f>SUM(M266:M271)</f>
        <v>5450</v>
      </c>
    </row>
    <row r="267" spans="1:16">
      <c r="A267" s="6" t="s">
        <v>438</v>
      </c>
      <c r="B267" s="6" t="s">
        <v>441</v>
      </c>
      <c r="C267" s="6" t="s">
        <v>442</v>
      </c>
      <c r="D267" s="6">
        <v>138</v>
      </c>
      <c r="E267" s="6"/>
      <c r="F267" s="6">
        <v>157</v>
      </c>
      <c r="G267" s="6">
        <v>155</v>
      </c>
      <c r="H267" s="6">
        <v>205</v>
      </c>
      <c r="I267" s="6">
        <v>191</v>
      </c>
      <c r="J267" s="3">
        <f t="shared" si="4"/>
        <v>846</v>
      </c>
      <c r="L267" s="6" t="s">
        <v>4</v>
      </c>
      <c r="M267" s="7">
        <f>SUM(E266:E273)</f>
        <v>919</v>
      </c>
      <c r="O267" s="8"/>
      <c r="P267" s="7"/>
    </row>
    <row r="268" spans="1:16">
      <c r="A268" s="6" t="s">
        <v>438</v>
      </c>
      <c r="B268" s="6" t="s">
        <v>443</v>
      </c>
      <c r="C268" s="6" t="s">
        <v>444</v>
      </c>
      <c r="D268" s="6">
        <v>169</v>
      </c>
      <c r="E268" s="6">
        <v>245</v>
      </c>
      <c r="F268" s="6">
        <v>159</v>
      </c>
      <c r="G268" s="6">
        <v>183</v>
      </c>
      <c r="H268" s="6">
        <v>164</v>
      </c>
      <c r="I268" s="6">
        <v>177</v>
      </c>
      <c r="J268" s="3">
        <f t="shared" si="4"/>
        <v>1097</v>
      </c>
      <c r="L268" s="6" t="s">
        <v>5</v>
      </c>
      <c r="M268" s="7">
        <f>SUM(F266:F273)</f>
        <v>891</v>
      </c>
      <c r="O268" s="8"/>
      <c r="P268" s="7"/>
    </row>
    <row r="269" spans="1:16">
      <c r="A269" s="6" t="s">
        <v>438</v>
      </c>
      <c r="B269" s="6" t="s">
        <v>445</v>
      </c>
      <c r="C269" s="6" t="s">
        <v>446</v>
      </c>
      <c r="D269" s="6">
        <v>231</v>
      </c>
      <c r="E269" s="6">
        <v>188</v>
      </c>
      <c r="F269" s="6">
        <v>209</v>
      </c>
      <c r="G269" s="6">
        <v>205</v>
      </c>
      <c r="H269" s="6">
        <v>266</v>
      </c>
      <c r="I269" s="6">
        <v>217</v>
      </c>
      <c r="J269" s="3">
        <f t="shared" si="4"/>
        <v>1316</v>
      </c>
      <c r="L269" s="6" t="s">
        <v>6</v>
      </c>
      <c r="M269" s="7">
        <f>SUM(G266:G273)</f>
        <v>888</v>
      </c>
      <c r="O269" s="8"/>
      <c r="P269" s="7"/>
    </row>
    <row r="270" spans="1:16">
      <c r="A270" s="6" t="s">
        <v>438</v>
      </c>
      <c r="B270" s="6" t="s">
        <v>210</v>
      </c>
      <c r="C270" s="6" t="s">
        <v>447</v>
      </c>
      <c r="D270" s="6">
        <v>119</v>
      </c>
      <c r="E270" s="6"/>
      <c r="F270" s="6"/>
      <c r="G270" s="6"/>
      <c r="H270" s="6"/>
      <c r="I270" s="6"/>
      <c r="J270" s="3">
        <f t="shared" si="4"/>
        <v>119</v>
      </c>
      <c r="L270" s="6" t="s">
        <v>7</v>
      </c>
      <c r="M270" s="7">
        <f>SUM(H266:H273)</f>
        <v>1009</v>
      </c>
      <c r="O270" s="8"/>
      <c r="P270" s="7"/>
    </row>
    <row r="271" spans="1:16">
      <c r="A271" s="6" t="s">
        <v>438</v>
      </c>
      <c r="B271" s="6" t="s">
        <v>266</v>
      </c>
      <c r="C271" s="6" t="s">
        <v>448</v>
      </c>
      <c r="D271" s="6">
        <v>181</v>
      </c>
      <c r="E271" s="6">
        <v>113</v>
      </c>
      <c r="F271" s="6"/>
      <c r="G271" s="6"/>
      <c r="H271" s="6"/>
      <c r="I271" s="6"/>
      <c r="J271" s="3">
        <f t="shared" si="4"/>
        <v>294</v>
      </c>
      <c r="L271" s="6" t="s">
        <v>8</v>
      </c>
      <c r="M271" s="7">
        <f>SUM(I266:I273)</f>
        <v>905</v>
      </c>
      <c r="O271" s="8"/>
      <c r="P271" s="7"/>
    </row>
    <row r="272" spans="1:16">
      <c r="A272" s="6" t="s">
        <v>438</v>
      </c>
      <c r="B272" s="6" t="s">
        <v>322</v>
      </c>
      <c r="C272" s="6" t="s">
        <v>449</v>
      </c>
      <c r="D272" s="6"/>
      <c r="E272" s="6">
        <v>199</v>
      </c>
      <c r="F272" s="6">
        <v>172</v>
      </c>
      <c r="G272" s="6">
        <v>166</v>
      </c>
      <c r="H272" s="6">
        <v>198</v>
      </c>
      <c r="I272" s="6">
        <v>176</v>
      </c>
      <c r="J272" s="3">
        <f t="shared" si="4"/>
        <v>911</v>
      </c>
      <c r="L272" s="6"/>
      <c r="M272" s="7"/>
      <c r="O272" s="8"/>
      <c r="P272" s="7"/>
    </row>
    <row r="273" spans="1:16">
      <c r="A273" s="6" t="s">
        <v>438</v>
      </c>
      <c r="B273" s="6" t="s">
        <v>450</v>
      </c>
      <c r="C273" s="6" t="s">
        <v>451</v>
      </c>
      <c r="D273" s="6"/>
      <c r="E273" s="6">
        <v>174</v>
      </c>
      <c r="F273" s="6">
        <v>194</v>
      </c>
      <c r="G273" s="6">
        <v>179</v>
      </c>
      <c r="H273" s="6">
        <v>176</v>
      </c>
      <c r="I273" s="6">
        <v>144</v>
      </c>
      <c r="J273" s="3">
        <f t="shared" si="4"/>
        <v>867</v>
      </c>
      <c r="L273" s="6"/>
      <c r="M273" s="7"/>
      <c r="O273" s="8"/>
      <c r="P273" s="7"/>
    </row>
    <row r="274" spans="1:16">
      <c r="A274" s="2" t="s">
        <v>452</v>
      </c>
      <c r="B274" s="2" t="s">
        <v>453</v>
      </c>
      <c r="C274" s="2" t="s">
        <v>454</v>
      </c>
      <c r="D274" s="2">
        <v>193</v>
      </c>
      <c r="E274" s="2">
        <v>235</v>
      </c>
      <c r="F274" s="2">
        <v>183</v>
      </c>
      <c r="G274" s="2">
        <v>212</v>
      </c>
      <c r="H274" s="2">
        <v>253</v>
      </c>
      <c r="I274" s="2">
        <v>215</v>
      </c>
      <c r="J274" s="3">
        <f t="shared" si="4"/>
        <v>1291</v>
      </c>
      <c r="L274" s="2" t="s">
        <v>3</v>
      </c>
      <c r="M274" s="3">
        <f>SUM(D274:D281)</f>
        <v>1006</v>
      </c>
      <c r="O274" s="4" t="str">
        <f>A274</f>
        <v>Robert Morris - Illinois</v>
      </c>
      <c r="P274" s="3">
        <f>SUM(M274:M279)</f>
        <v>6083</v>
      </c>
    </row>
    <row r="275" spans="1:16">
      <c r="A275" s="2" t="s">
        <v>452</v>
      </c>
      <c r="B275" s="2" t="s">
        <v>332</v>
      </c>
      <c r="C275" s="2" t="s">
        <v>455</v>
      </c>
      <c r="D275" s="2"/>
      <c r="E275" s="2"/>
      <c r="F275" s="2"/>
      <c r="G275" s="2"/>
      <c r="H275" s="2">
        <v>182</v>
      </c>
      <c r="I275" s="2">
        <v>202</v>
      </c>
      <c r="J275" s="3">
        <f t="shared" ref="J275:J338" si="5">SUM(D275:I275)</f>
        <v>384</v>
      </c>
      <c r="L275" s="2" t="s">
        <v>4</v>
      </c>
      <c r="M275" s="3">
        <f>SUM(E274:E281)</f>
        <v>1010</v>
      </c>
      <c r="O275" s="4"/>
      <c r="P275" s="3"/>
    </row>
    <row r="276" spans="1:16">
      <c r="A276" s="2" t="s">
        <v>452</v>
      </c>
      <c r="B276" s="2" t="s">
        <v>456</v>
      </c>
      <c r="C276" s="2" t="s">
        <v>457</v>
      </c>
      <c r="D276" s="2">
        <v>181</v>
      </c>
      <c r="E276" s="2">
        <v>169</v>
      </c>
      <c r="F276" s="2"/>
      <c r="G276" s="2">
        <v>183</v>
      </c>
      <c r="H276" s="2"/>
      <c r="I276" s="2"/>
      <c r="J276" s="3">
        <f t="shared" si="5"/>
        <v>533</v>
      </c>
      <c r="L276" s="2" t="s">
        <v>5</v>
      </c>
      <c r="M276" s="3">
        <f>SUM(F274:F281)</f>
        <v>905</v>
      </c>
      <c r="O276" s="4"/>
      <c r="P276" s="3"/>
    </row>
    <row r="277" spans="1:16">
      <c r="A277" s="2" t="s">
        <v>452</v>
      </c>
      <c r="B277" s="2" t="s">
        <v>66</v>
      </c>
      <c r="C277" s="2" t="s">
        <v>458</v>
      </c>
      <c r="D277" s="2">
        <v>214</v>
      </c>
      <c r="E277" s="2">
        <v>202</v>
      </c>
      <c r="F277" s="2">
        <v>215</v>
      </c>
      <c r="G277" s="2">
        <v>225</v>
      </c>
      <c r="H277" s="2">
        <v>229</v>
      </c>
      <c r="I277" s="2">
        <v>246</v>
      </c>
      <c r="J277" s="3">
        <f t="shared" si="5"/>
        <v>1331</v>
      </c>
      <c r="L277" s="2" t="s">
        <v>6</v>
      </c>
      <c r="M277" s="3">
        <f>SUM(G274:G281)</f>
        <v>1014</v>
      </c>
      <c r="O277" s="4"/>
      <c r="P277" s="3"/>
    </row>
    <row r="278" spans="1:16">
      <c r="A278" s="2" t="s">
        <v>452</v>
      </c>
      <c r="B278" s="2" t="s">
        <v>459</v>
      </c>
      <c r="C278" s="2" t="s">
        <v>92</v>
      </c>
      <c r="D278" s="2">
        <v>230</v>
      </c>
      <c r="E278" s="2">
        <v>212</v>
      </c>
      <c r="F278" s="2">
        <v>180</v>
      </c>
      <c r="G278" s="2">
        <v>207</v>
      </c>
      <c r="H278" s="2">
        <v>240</v>
      </c>
      <c r="I278" s="2">
        <v>201</v>
      </c>
      <c r="J278" s="3">
        <f t="shared" si="5"/>
        <v>1270</v>
      </c>
      <c r="L278" s="2" t="s">
        <v>7</v>
      </c>
      <c r="M278" s="3">
        <f>SUM(H274:H281)</f>
        <v>1061</v>
      </c>
      <c r="O278" s="4"/>
      <c r="P278" s="3"/>
    </row>
    <row r="279" spans="1:16">
      <c r="A279" s="2" t="s">
        <v>452</v>
      </c>
      <c r="B279" s="2" t="s">
        <v>36</v>
      </c>
      <c r="C279" s="2" t="s">
        <v>460</v>
      </c>
      <c r="D279" s="2">
        <v>188</v>
      </c>
      <c r="E279" s="2">
        <v>192</v>
      </c>
      <c r="F279" s="2">
        <v>165</v>
      </c>
      <c r="G279" s="2">
        <v>187</v>
      </c>
      <c r="H279" s="2">
        <v>157</v>
      </c>
      <c r="I279" s="2"/>
      <c r="J279" s="3">
        <f t="shared" si="5"/>
        <v>889</v>
      </c>
      <c r="L279" s="2" t="s">
        <v>8</v>
      </c>
      <c r="M279" s="3">
        <f>SUM(I274:I281)</f>
        <v>1087</v>
      </c>
      <c r="O279" s="4"/>
      <c r="P279" s="3"/>
    </row>
    <row r="280" spans="1:16">
      <c r="A280" s="2" t="s">
        <v>452</v>
      </c>
      <c r="B280" s="2" t="s">
        <v>23</v>
      </c>
      <c r="C280" s="2" t="s">
        <v>461</v>
      </c>
      <c r="D280" s="2"/>
      <c r="E280" s="2"/>
      <c r="F280" s="2"/>
      <c r="G280" s="2"/>
      <c r="H280" s="2"/>
      <c r="I280" s="2">
        <v>223</v>
      </c>
      <c r="J280" s="3">
        <f t="shared" si="5"/>
        <v>223</v>
      </c>
      <c r="L280" s="3"/>
      <c r="M280" s="3"/>
      <c r="O280" s="4"/>
      <c r="P280" s="3"/>
    </row>
    <row r="281" spans="1:16">
      <c r="A281" s="2" t="s">
        <v>452</v>
      </c>
      <c r="B281" s="2" t="s">
        <v>462</v>
      </c>
      <c r="C281" s="2" t="s">
        <v>463</v>
      </c>
      <c r="D281" s="2"/>
      <c r="E281" s="2"/>
      <c r="F281" s="2">
        <v>162</v>
      </c>
      <c r="G281" s="2"/>
      <c r="H281" s="2"/>
      <c r="I281" s="2"/>
      <c r="J281" s="3">
        <f t="shared" si="5"/>
        <v>162</v>
      </c>
      <c r="L281" s="2"/>
      <c r="M281" s="3"/>
      <c r="O281" s="4"/>
      <c r="P281" s="3"/>
    </row>
    <row r="282" spans="1:16">
      <c r="A282" s="6" t="s">
        <v>464</v>
      </c>
      <c r="B282" s="6" t="s">
        <v>465</v>
      </c>
      <c r="C282" s="6" t="s">
        <v>466</v>
      </c>
      <c r="D282" s="6">
        <v>193</v>
      </c>
      <c r="E282" s="6">
        <v>228</v>
      </c>
      <c r="F282" s="6">
        <v>211</v>
      </c>
      <c r="G282" s="6">
        <v>196</v>
      </c>
      <c r="H282" s="6">
        <v>246</v>
      </c>
      <c r="I282" s="6">
        <v>243</v>
      </c>
      <c r="J282" s="3">
        <f t="shared" si="5"/>
        <v>1317</v>
      </c>
      <c r="L282" s="6" t="s">
        <v>3</v>
      </c>
      <c r="M282" s="7">
        <f>SUM(D282:D289)</f>
        <v>899</v>
      </c>
      <c r="O282" s="8" t="str">
        <f>A282</f>
        <v>Newman</v>
      </c>
      <c r="P282" s="7">
        <f>SUM(M282:M287)</f>
        <v>5913</v>
      </c>
    </row>
    <row r="283" spans="1:16">
      <c r="A283" s="6" t="s">
        <v>464</v>
      </c>
      <c r="B283" s="6" t="s">
        <v>467</v>
      </c>
      <c r="C283" s="6" t="s">
        <v>468</v>
      </c>
      <c r="D283" s="6">
        <v>222</v>
      </c>
      <c r="E283" s="6">
        <v>198</v>
      </c>
      <c r="F283" s="6">
        <v>174</v>
      </c>
      <c r="G283" s="6">
        <v>248</v>
      </c>
      <c r="H283" s="6">
        <v>236</v>
      </c>
      <c r="I283" s="6">
        <v>214</v>
      </c>
      <c r="J283" s="3">
        <f t="shared" si="5"/>
        <v>1292</v>
      </c>
      <c r="L283" s="6" t="s">
        <v>4</v>
      </c>
      <c r="M283" s="7">
        <f>SUM(E282:E289)</f>
        <v>973</v>
      </c>
      <c r="O283" s="8"/>
      <c r="P283" s="7"/>
    </row>
    <row r="284" spans="1:16">
      <c r="A284" s="6" t="s">
        <v>464</v>
      </c>
      <c r="B284" s="6" t="s">
        <v>469</v>
      </c>
      <c r="C284" s="6" t="s">
        <v>470</v>
      </c>
      <c r="D284" s="6"/>
      <c r="E284" s="6"/>
      <c r="F284" s="6"/>
      <c r="G284" s="6">
        <v>165</v>
      </c>
      <c r="H284" s="6"/>
      <c r="I284" s="6"/>
      <c r="J284" s="3">
        <f t="shared" si="5"/>
        <v>165</v>
      </c>
      <c r="L284" s="6" t="s">
        <v>5</v>
      </c>
      <c r="M284" s="7">
        <f>SUM(F282:F289)</f>
        <v>832</v>
      </c>
      <c r="O284" s="8"/>
      <c r="P284" s="7"/>
    </row>
    <row r="285" spans="1:16">
      <c r="A285" s="6" t="s">
        <v>464</v>
      </c>
      <c r="B285" s="6" t="s">
        <v>326</v>
      </c>
      <c r="C285" s="6" t="s">
        <v>471</v>
      </c>
      <c r="D285" s="6">
        <v>160</v>
      </c>
      <c r="E285" s="6">
        <v>170</v>
      </c>
      <c r="F285" s="6">
        <v>180</v>
      </c>
      <c r="G285" s="6">
        <v>192</v>
      </c>
      <c r="H285" s="6">
        <v>215</v>
      </c>
      <c r="I285" s="6">
        <v>202</v>
      </c>
      <c r="J285" s="3">
        <f t="shared" si="5"/>
        <v>1119</v>
      </c>
      <c r="L285" s="6" t="s">
        <v>6</v>
      </c>
      <c r="M285" s="7">
        <f>SUM(G282:G289)</f>
        <v>977</v>
      </c>
      <c r="O285" s="8"/>
      <c r="P285" s="7"/>
    </row>
    <row r="286" spans="1:16">
      <c r="A286" s="6" t="s">
        <v>464</v>
      </c>
      <c r="B286" s="6" t="s">
        <v>344</v>
      </c>
      <c r="C286" s="6" t="s">
        <v>472</v>
      </c>
      <c r="D286" s="6">
        <v>166</v>
      </c>
      <c r="E286" s="6">
        <v>190</v>
      </c>
      <c r="F286" s="6">
        <v>142</v>
      </c>
      <c r="G286" s="6"/>
      <c r="H286" s="6">
        <v>211</v>
      </c>
      <c r="I286" s="6">
        <v>276</v>
      </c>
      <c r="J286" s="3">
        <f t="shared" si="5"/>
        <v>985</v>
      </c>
      <c r="L286" s="6" t="s">
        <v>7</v>
      </c>
      <c r="M286" s="7">
        <f>SUM(H282:H289)</f>
        <v>1125</v>
      </c>
      <c r="O286" s="8"/>
      <c r="P286" s="7"/>
    </row>
    <row r="287" spans="1:16">
      <c r="A287" s="6" t="s">
        <v>464</v>
      </c>
      <c r="B287" s="6" t="s">
        <v>473</v>
      </c>
      <c r="C287" s="6" t="s">
        <v>474</v>
      </c>
      <c r="D287" s="6">
        <v>158</v>
      </c>
      <c r="E287" s="6">
        <v>187</v>
      </c>
      <c r="F287" s="6"/>
      <c r="G287" s="6"/>
      <c r="H287" s="6">
        <v>217</v>
      </c>
      <c r="I287" s="6">
        <v>172</v>
      </c>
      <c r="J287" s="3">
        <f t="shared" si="5"/>
        <v>734</v>
      </c>
      <c r="L287" s="6" t="s">
        <v>8</v>
      </c>
      <c r="M287" s="7">
        <f>SUM(I282:I289)</f>
        <v>1107</v>
      </c>
      <c r="O287" s="8"/>
      <c r="P287" s="7"/>
    </row>
    <row r="288" spans="1:16">
      <c r="A288" s="6" t="s">
        <v>464</v>
      </c>
      <c r="B288" s="6" t="s">
        <v>475</v>
      </c>
      <c r="C288" s="6" t="s">
        <v>476</v>
      </c>
      <c r="D288" s="6"/>
      <c r="E288" s="6"/>
      <c r="F288" s="6"/>
      <c r="G288" s="6">
        <v>176</v>
      </c>
      <c r="H288" s="6"/>
      <c r="I288" s="6"/>
      <c r="J288" s="3">
        <f t="shared" si="5"/>
        <v>176</v>
      </c>
      <c r="L288" s="6"/>
      <c r="M288" s="7"/>
      <c r="O288" s="8"/>
      <c r="P288" s="7"/>
    </row>
    <row r="289" spans="1:16">
      <c r="A289" s="6" t="s">
        <v>464</v>
      </c>
      <c r="B289" s="6" t="s">
        <v>477</v>
      </c>
      <c r="C289" s="6" t="s">
        <v>478</v>
      </c>
      <c r="D289" s="6"/>
      <c r="E289" s="6"/>
      <c r="F289" s="6">
        <v>125</v>
      </c>
      <c r="G289" s="6"/>
      <c r="H289" s="6"/>
      <c r="I289" s="6"/>
      <c r="J289" s="3">
        <f t="shared" si="5"/>
        <v>125</v>
      </c>
      <c r="L289" s="6"/>
      <c r="M289" s="7"/>
      <c r="O289" s="8"/>
      <c r="P289" s="7"/>
    </row>
    <row r="290" spans="1:16">
      <c r="A290" s="2" t="s">
        <v>479</v>
      </c>
      <c r="B290" s="2" t="s">
        <v>406</v>
      </c>
      <c r="C290" s="2" t="s">
        <v>480</v>
      </c>
      <c r="D290" s="2">
        <v>179</v>
      </c>
      <c r="E290" s="2">
        <v>144</v>
      </c>
      <c r="F290" s="2">
        <v>170</v>
      </c>
      <c r="G290" s="2">
        <v>197</v>
      </c>
      <c r="H290" s="2">
        <v>153</v>
      </c>
      <c r="I290" s="2"/>
      <c r="J290" s="3">
        <f t="shared" si="5"/>
        <v>843</v>
      </c>
      <c r="L290" s="2" t="s">
        <v>3</v>
      </c>
      <c r="M290" s="3">
        <f>SUM(D290:D297)</f>
        <v>893</v>
      </c>
      <c r="O290" s="4" t="str">
        <f>A290</f>
        <v>Emmanuel</v>
      </c>
      <c r="P290" s="3">
        <f>SUM(M290:M295)</f>
        <v>5465</v>
      </c>
    </row>
    <row r="291" spans="1:16">
      <c r="A291" s="2" t="s">
        <v>479</v>
      </c>
      <c r="B291" s="2" t="s">
        <v>481</v>
      </c>
      <c r="C291" s="2" t="s">
        <v>482</v>
      </c>
      <c r="D291" s="2">
        <v>202</v>
      </c>
      <c r="E291" s="2">
        <v>147</v>
      </c>
      <c r="F291" s="2"/>
      <c r="G291" s="2"/>
      <c r="H291" s="2"/>
      <c r="I291" s="2"/>
      <c r="J291" s="3">
        <f t="shared" si="5"/>
        <v>349</v>
      </c>
      <c r="L291" s="2" t="s">
        <v>4</v>
      </c>
      <c r="M291" s="3">
        <f>SUM(E290:E297)</f>
        <v>700</v>
      </c>
      <c r="O291" s="4"/>
      <c r="P291" s="3"/>
    </row>
    <row r="292" spans="1:16">
      <c r="A292" s="2" t="s">
        <v>479</v>
      </c>
      <c r="B292" s="2" t="s">
        <v>30</v>
      </c>
      <c r="C292" s="2" t="s">
        <v>483</v>
      </c>
      <c r="D292" s="2"/>
      <c r="E292" s="2">
        <v>114</v>
      </c>
      <c r="F292" s="2"/>
      <c r="G292" s="2"/>
      <c r="H292" s="2"/>
      <c r="I292" s="2"/>
      <c r="J292" s="3">
        <f t="shared" si="5"/>
        <v>114</v>
      </c>
      <c r="L292" s="2" t="s">
        <v>5</v>
      </c>
      <c r="M292" s="3">
        <f>SUM(F290:F297)</f>
        <v>907</v>
      </c>
      <c r="O292" s="4"/>
      <c r="P292" s="3"/>
    </row>
    <row r="293" spans="1:16">
      <c r="A293" s="2" t="s">
        <v>479</v>
      </c>
      <c r="B293" s="2" t="s">
        <v>484</v>
      </c>
      <c r="C293" s="2" t="s">
        <v>485</v>
      </c>
      <c r="D293" s="2"/>
      <c r="E293" s="2"/>
      <c r="F293" s="2"/>
      <c r="G293" s="2"/>
      <c r="H293" s="2"/>
      <c r="I293" s="2">
        <v>162</v>
      </c>
      <c r="J293" s="3">
        <f t="shared" si="5"/>
        <v>162</v>
      </c>
      <c r="L293" s="2" t="s">
        <v>6</v>
      </c>
      <c r="M293" s="3">
        <f>SUM(G290:G297)</f>
        <v>1025</v>
      </c>
      <c r="O293" s="4"/>
      <c r="P293" s="3"/>
    </row>
    <row r="294" spans="1:16">
      <c r="A294" s="2" t="s">
        <v>479</v>
      </c>
      <c r="B294" s="2" t="s">
        <v>89</v>
      </c>
      <c r="C294" s="2" t="s">
        <v>486</v>
      </c>
      <c r="D294" s="2">
        <v>143</v>
      </c>
      <c r="E294" s="2"/>
      <c r="F294" s="2">
        <v>182</v>
      </c>
      <c r="G294" s="2">
        <v>219</v>
      </c>
      <c r="H294" s="2">
        <v>212</v>
      </c>
      <c r="I294" s="2">
        <v>168</v>
      </c>
      <c r="J294" s="3">
        <f t="shared" si="5"/>
        <v>924</v>
      </c>
      <c r="L294" s="2" t="s">
        <v>7</v>
      </c>
      <c r="M294" s="3">
        <f>SUM(H290:H297)</f>
        <v>1004</v>
      </c>
      <c r="O294" s="4"/>
      <c r="P294" s="3"/>
    </row>
    <row r="295" spans="1:16">
      <c r="A295" s="2" t="s">
        <v>479</v>
      </c>
      <c r="B295" s="2" t="s">
        <v>16</v>
      </c>
      <c r="C295" s="2" t="s">
        <v>487</v>
      </c>
      <c r="D295" s="2"/>
      <c r="E295" s="2"/>
      <c r="F295" s="2">
        <v>211</v>
      </c>
      <c r="G295" s="2">
        <v>244</v>
      </c>
      <c r="H295" s="2">
        <v>236</v>
      </c>
      <c r="I295" s="2">
        <v>165</v>
      </c>
      <c r="J295" s="3">
        <f t="shared" si="5"/>
        <v>856</v>
      </c>
      <c r="L295" s="2" t="s">
        <v>8</v>
      </c>
      <c r="M295" s="3">
        <f>SUM(I290:I297)</f>
        <v>936</v>
      </c>
      <c r="O295" s="4"/>
      <c r="P295" s="3"/>
    </row>
    <row r="296" spans="1:16">
      <c r="A296" s="2" t="s">
        <v>479</v>
      </c>
      <c r="B296" s="2" t="s">
        <v>47</v>
      </c>
      <c r="C296" s="2" t="s">
        <v>488</v>
      </c>
      <c r="D296" s="2">
        <v>198</v>
      </c>
      <c r="E296" s="2">
        <v>144</v>
      </c>
      <c r="F296" s="2">
        <v>154</v>
      </c>
      <c r="G296" s="2">
        <v>178</v>
      </c>
      <c r="H296" s="2">
        <v>189</v>
      </c>
      <c r="I296" s="2">
        <v>227</v>
      </c>
      <c r="J296" s="3">
        <f t="shared" si="5"/>
        <v>1090</v>
      </c>
      <c r="L296" s="3"/>
      <c r="M296" s="3"/>
      <c r="O296" s="4"/>
      <c r="P296" s="3"/>
    </row>
    <row r="297" spans="1:16">
      <c r="A297" s="2" t="s">
        <v>479</v>
      </c>
      <c r="B297" s="2" t="s">
        <v>245</v>
      </c>
      <c r="C297" s="2" t="s">
        <v>489</v>
      </c>
      <c r="D297" s="2">
        <v>171</v>
      </c>
      <c r="E297" s="2">
        <v>151</v>
      </c>
      <c r="F297" s="2">
        <v>190</v>
      </c>
      <c r="G297" s="2">
        <v>187</v>
      </c>
      <c r="H297" s="2">
        <v>214</v>
      </c>
      <c r="I297" s="2">
        <v>214</v>
      </c>
      <c r="J297" s="3">
        <f t="shared" si="5"/>
        <v>1127</v>
      </c>
      <c r="L297" s="2"/>
      <c r="M297" s="3"/>
      <c r="O297" s="4"/>
      <c r="P297" s="3"/>
    </row>
    <row r="298" spans="1:16">
      <c r="A298" s="6" t="s">
        <v>490</v>
      </c>
      <c r="B298" s="6" t="s">
        <v>467</v>
      </c>
      <c r="C298" s="6" t="s">
        <v>491</v>
      </c>
      <c r="D298" s="6">
        <v>167</v>
      </c>
      <c r="E298" s="6">
        <v>170</v>
      </c>
      <c r="F298" s="6">
        <v>203</v>
      </c>
      <c r="G298" s="6">
        <v>175</v>
      </c>
      <c r="H298" s="6">
        <v>163</v>
      </c>
      <c r="I298" s="6">
        <v>215</v>
      </c>
      <c r="J298" s="3">
        <f t="shared" si="5"/>
        <v>1093</v>
      </c>
      <c r="L298" s="6" t="s">
        <v>3</v>
      </c>
      <c r="M298" s="7">
        <f>SUM(D298:D305)</f>
        <v>848</v>
      </c>
      <c r="O298" s="8" t="str">
        <f>A298</f>
        <v>Iowa Central CC</v>
      </c>
      <c r="P298" s="7">
        <f>SUM(M298:M303)</f>
        <v>5416</v>
      </c>
    </row>
    <row r="299" spans="1:16">
      <c r="A299" s="6" t="s">
        <v>490</v>
      </c>
      <c r="B299" s="6" t="s">
        <v>170</v>
      </c>
      <c r="C299" s="6" t="s">
        <v>492</v>
      </c>
      <c r="D299" s="6">
        <v>201</v>
      </c>
      <c r="E299" s="6">
        <v>217</v>
      </c>
      <c r="F299" s="6">
        <v>182</v>
      </c>
      <c r="G299" s="6">
        <v>221</v>
      </c>
      <c r="H299" s="6">
        <v>226</v>
      </c>
      <c r="I299" s="6">
        <v>136</v>
      </c>
      <c r="J299" s="3">
        <f t="shared" si="5"/>
        <v>1183</v>
      </c>
      <c r="L299" s="6" t="s">
        <v>4</v>
      </c>
      <c r="M299" s="7">
        <f>SUM(E298:E305)</f>
        <v>912</v>
      </c>
      <c r="O299" s="8"/>
      <c r="P299" s="7"/>
    </row>
    <row r="300" spans="1:16">
      <c r="A300" s="6" t="s">
        <v>490</v>
      </c>
      <c r="B300" s="6" t="s">
        <v>493</v>
      </c>
      <c r="C300" s="6" t="s">
        <v>494</v>
      </c>
      <c r="D300" s="6"/>
      <c r="E300" s="6"/>
      <c r="F300" s="6">
        <v>129</v>
      </c>
      <c r="G300" s="6"/>
      <c r="H300" s="6"/>
      <c r="I300" s="6"/>
      <c r="J300" s="3">
        <f t="shared" si="5"/>
        <v>129</v>
      </c>
      <c r="L300" s="6" t="s">
        <v>5</v>
      </c>
      <c r="M300" s="7">
        <f>SUM(F298:F305)</f>
        <v>907</v>
      </c>
      <c r="O300" s="8"/>
      <c r="P300" s="7"/>
    </row>
    <row r="301" spans="1:16">
      <c r="A301" s="6" t="s">
        <v>490</v>
      </c>
      <c r="B301" s="6" t="s">
        <v>201</v>
      </c>
      <c r="C301" s="6" t="s">
        <v>495</v>
      </c>
      <c r="D301" s="6"/>
      <c r="E301" s="6">
        <v>124</v>
      </c>
      <c r="F301" s="6"/>
      <c r="G301" s="6"/>
      <c r="H301" s="6"/>
      <c r="I301" s="6"/>
      <c r="J301" s="3">
        <f t="shared" si="5"/>
        <v>124</v>
      </c>
      <c r="L301" s="6" t="s">
        <v>6</v>
      </c>
      <c r="M301" s="7">
        <f>SUM(G298:G305)</f>
        <v>923</v>
      </c>
      <c r="O301" s="8"/>
      <c r="P301" s="7"/>
    </row>
    <row r="302" spans="1:16">
      <c r="A302" s="6" t="s">
        <v>490</v>
      </c>
      <c r="B302" s="6" t="s">
        <v>496</v>
      </c>
      <c r="C302" s="6" t="s">
        <v>497</v>
      </c>
      <c r="D302" s="6">
        <v>172</v>
      </c>
      <c r="E302" s="6">
        <v>180</v>
      </c>
      <c r="F302" s="6">
        <v>218</v>
      </c>
      <c r="G302" s="6">
        <v>192</v>
      </c>
      <c r="H302" s="6">
        <v>146</v>
      </c>
      <c r="I302" s="6">
        <v>177</v>
      </c>
      <c r="J302" s="3">
        <f t="shared" si="5"/>
        <v>1085</v>
      </c>
      <c r="L302" s="6" t="s">
        <v>7</v>
      </c>
      <c r="M302" s="7">
        <f>SUM(H298:H305)</f>
        <v>902</v>
      </c>
      <c r="O302" s="8"/>
      <c r="P302" s="7"/>
    </row>
    <row r="303" spans="1:16">
      <c r="A303" s="6" t="s">
        <v>490</v>
      </c>
      <c r="B303" s="6" t="s">
        <v>498</v>
      </c>
      <c r="C303" s="6" t="s">
        <v>238</v>
      </c>
      <c r="D303" s="6">
        <v>123</v>
      </c>
      <c r="E303" s="6"/>
      <c r="F303" s="6"/>
      <c r="G303" s="6">
        <v>168</v>
      </c>
      <c r="H303" s="6">
        <v>162</v>
      </c>
      <c r="I303" s="6">
        <v>224</v>
      </c>
      <c r="J303" s="3">
        <f t="shared" si="5"/>
        <v>677</v>
      </c>
      <c r="L303" s="6" t="s">
        <v>8</v>
      </c>
      <c r="M303" s="7">
        <f>SUM(I298:I305)</f>
        <v>924</v>
      </c>
      <c r="O303" s="8"/>
      <c r="P303" s="7"/>
    </row>
    <row r="304" spans="1:16">
      <c r="A304" s="6" t="s">
        <v>490</v>
      </c>
      <c r="B304" s="6" t="s">
        <v>358</v>
      </c>
      <c r="C304" s="6" t="s">
        <v>499</v>
      </c>
      <c r="D304" s="6"/>
      <c r="E304" s="6"/>
      <c r="F304" s="6"/>
      <c r="G304" s="6"/>
      <c r="H304" s="6"/>
      <c r="I304" s="6"/>
      <c r="J304" s="3">
        <f t="shared" si="5"/>
        <v>0</v>
      </c>
      <c r="L304" s="6"/>
      <c r="M304" s="7"/>
      <c r="O304" s="8"/>
      <c r="P304" s="7"/>
    </row>
    <row r="305" spans="1:16">
      <c r="A305" s="6" t="s">
        <v>490</v>
      </c>
      <c r="B305" s="6" t="s">
        <v>500</v>
      </c>
      <c r="C305" s="6" t="s">
        <v>267</v>
      </c>
      <c r="D305" s="6">
        <v>185</v>
      </c>
      <c r="E305" s="6">
        <v>221</v>
      </c>
      <c r="F305" s="6">
        <v>175</v>
      </c>
      <c r="G305" s="6">
        <v>167</v>
      </c>
      <c r="H305" s="6">
        <v>205</v>
      </c>
      <c r="I305" s="6">
        <v>172</v>
      </c>
      <c r="J305" s="3">
        <f t="shared" si="5"/>
        <v>1125</v>
      </c>
      <c r="L305" s="6"/>
      <c r="M305" s="7"/>
      <c r="O305" s="8"/>
      <c r="P305" s="7"/>
    </row>
    <row r="306" spans="1:16">
      <c r="A306" s="2" t="s">
        <v>501</v>
      </c>
      <c r="B306" s="2" t="s">
        <v>170</v>
      </c>
      <c r="C306" s="2" t="s">
        <v>502</v>
      </c>
      <c r="D306" s="2"/>
      <c r="E306" s="2">
        <v>219</v>
      </c>
      <c r="F306" s="2">
        <v>190</v>
      </c>
      <c r="G306" s="2">
        <v>180</v>
      </c>
      <c r="H306" s="2">
        <v>246</v>
      </c>
      <c r="I306" s="2">
        <v>229</v>
      </c>
      <c r="J306" s="3">
        <f t="shared" si="5"/>
        <v>1064</v>
      </c>
      <c r="L306" s="2" t="s">
        <v>3</v>
      </c>
      <c r="M306" s="3">
        <f>SUM(D306:D313)</f>
        <v>918</v>
      </c>
      <c r="O306" s="4" t="str">
        <f>A306</f>
        <v>Wichita State</v>
      </c>
      <c r="P306" s="3">
        <f>SUM(M306:M311)</f>
        <v>5789</v>
      </c>
    </row>
    <row r="307" spans="1:16">
      <c r="A307" s="2" t="s">
        <v>501</v>
      </c>
      <c r="B307" s="2" t="s">
        <v>503</v>
      </c>
      <c r="C307" s="2" t="s">
        <v>290</v>
      </c>
      <c r="D307" s="2"/>
      <c r="E307" s="2"/>
      <c r="F307" s="2"/>
      <c r="G307" s="2">
        <v>204</v>
      </c>
      <c r="H307" s="2">
        <v>201</v>
      </c>
      <c r="I307" s="2">
        <v>190</v>
      </c>
      <c r="J307" s="3">
        <f t="shared" si="5"/>
        <v>595</v>
      </c>
      <c r="L307" s="2" t="s">
        <v>4</v>
      </c>
      <c r="M307" s="3">
        <f>SUM(E306:E313)</f>
        <v>1078</v>
      </c>
      <c r="O307" s="4"/>
      <c r="P307" s="3"/>
    </row>
    <row r="308" spans="1:16">
      <c r="A308" s="2" t="s">
        <v>501</v>
      </c>
      <c r="B308" s="2" t="s">
        <v>504</v>
      </c>
      <c r="C308" s="2" t="s">
        <v>505</v>
      </c>
      <c r="D308" s="2"/>
      <c r="E308" s="2"/>
      <c r="F308" s="2"/>
      <c r="G308" s="2">
        <v>157</v>
      </c>
      <c r="H308" s="2"/>
      <c r="I308" s="2">
        <v>245</v>
      </c>
      <c r="J308" s="3">
        <f t="shared" si="5"/>
        <v>402</v>
      </c>
      <c r="L308" s="2" t="s">
        <v>5</v>
      </c>
      <c r="M308" s="3">
        <f>SUM(F306:F313)</f>
        <v>885</v>
      </c>
      <c r="O308" s="4"/>
      <c r="P308" s="3"/>
    </row>
    <row r="309" spans="1:16">
      <c r="A309" s="2" t="s">
        <v>501</v>
      </c>
      <c r="B309" s="2" t="s">
        <v>313</v>
      </c>
      <c r="C309" s="2" t="s">
        <v>506</v>
      </c>
      <c r="D309" s="2">
        <v>174</v>
      </c>
      <c r="E309" s="2">
        <v>203</v>
      </c>
      <c r="F309" s="2">
        <v>207</v>
      </c>
      <c r="G309" s="2">
        <v>135</v>
      </c>
      <c r="H309" s="2"/>
      <c r="I309" s="2"/>
      <c r="J309" s="3">
        <f t="shared" si="5"/>
        <v>719</v>
      </c>
      <c r="L309" s="2" t="s">
        <v>6</v>
      </c>
      <c r="M309" s="3">
        <f>SUM(G306:G313)</f>
        <v>887</v>
      </c>
      <c r="O309" s="4"/>
      <c r="P309" s="3"/>
    </row>
    <row r="310" spans="1:16">
      <c r="A310" s="2" t="s">
        <v>501</v>
      </c>
      <c r="B310" s="2" t="s">
        <v>507</v>
      </c>
      <c r="C310" s="2" t="s">
        <v>508</v>
      </c>
      <c r="D310" s="2">
        <v>231</v>
      </c>
      <c r="E310" s="2">
        <v>215</v>
      </c>
      <c r="F310" s="2">
        <v>157</v>
      </c>
      <c r="G310" s="2">
        <v>211</v>
      </c>
      <c r="H310" s="2">
        <v>179</v>
      </c>
      <c r="I310" s="2">
        <v>204</v>
      </c>
      <c r="J310" s="3">
        <f t="shared" si="5"/>
        <v>1197</v>
      </c>
      <c r="L310" s="2" t="s">
        <v>7</v>
      </c>
      <c r="M310" s="3">
        <f>SUM(H306:H313)</f>
        <v>977</v>
      </c>
      <c r="O310" s="4"/>
      <c r="P310" s="3"/>
    </row>
    <row r="311" spans="1:16">
      <c r="A311" s="2" t="s">
        <v>501</v>
      </c>
      <c r="B311" s="2" t="s">
        <v>38</v>
      </c>
      <c r="C311" s="2" t="s">
        <v>509</v>
      </c>
      <c r="D311" s="2">
        <v>147</v>
      </c>
      <c r="E311" s="2"/>
      <c r="F311" s="2"/>
      <c r="G311" s="2"/>
      <c r="H311" s="2">
        <v>168</v>
      </c>
      <c r="I311" s="2">
        <v>176</v>
      </c>
      <c r="J311" s="3">
        <f t="shared" si="5"/>
        <v>491</v>
      </c>
      <c r="L311" s="2" t="s">
        <v>8</v>
      </c>
      <c r="M311" s="3">
        <f>SUM(I306:I313)</f>
        <v>1044</v>
      </c>
      <c r="O311" s="4"/>
      <c r="P311" s="3"/>
    </row>
    <row r="312" spans="1:16">
      <c r="A312" s="2" t="s">
        <v>501</v>
      </c>
      <c r="B312" s="2" t="s">
        <v>510</v>
      </c>
      <c r="C312" s="2" t="s">
        <v>511</v>
      </c>
      <c r="D312" s="2">
        <v>182</v>
      </c>
      <c r="E312" s="2">
        <v>236</v>
      </c>
      <c r="F312" s="2">
        <v>161</v>
      </c>
      <c r="G312" s="2"/>
      <c r="H312" s="2"/>
      <c r="I312" s="2"/>
      <c r="J312" s="3">
        <f t="shared" si="5"/>
        <v>579</v>
      </c>
      <c r="L312" s="3"/>
      <c r="M312" s="3"/>
      <c r="O312" s="4"/>
      <c r="P312" s="3"/>
    </row>
    <row r="313" spans="1:16">
      <c r="A313" s="2" t="s">
        <v>501</v>
      </c>
      <c r="B313" s="2" t="s">
        <v>512</v>
      </c>
      <c r="C313" s="2" t="s">
        <v>513</v>
      </c>
      <c r="D313" s="2">
        <v>184</v>
      </c>
      <c r="E313" s="2">
        <v>205</v>
      </c>
      <c r="F313" s="2">
        <v>170</v>
      </c>
      <c r="G313" s="2"/>
      <c r="H313" s="2">
        <v>183</v>
      </c>
      <c r="I313" s="2"/>
      <c r="J313" s="3">
        <f t="shared" si="5"/>
        <v>742</v>
      </c>
      <c r="L313" s="2"/>
      <c r="M313" s="3"/>
      <c r="O313" s="4"/>
      <c r="P313" s="3"/>
    </row>
    <row r="314" spans="1:16">
      <c r="A314" s="6" t="s">
        <v>514</v>
      </c>
      <c r="B314" s="6" t="s">
        <v>299</v>
      </c>
      <c r="C314" s="6" t="s">
        <v>515</v>
      </c>
      <c r="D314" s="6">
        <v>205</v>
      </c>
      <c r="E314" s="6">
        <v>205</v>
      </c>
      <c r="F314" s="6">
        <v>216</v>
      </c>
      <c r="G314" s="6">
        <v>201</v>
      </c>
      <c r="H314" s="6">
        <v>191</v>
      </c>
      <c r="I314" s="6">
        <v>220</v>
      </c>
      <c r="J314" s="3">
        <f t="shared" si="5"/>
        <v>1238</v>
      </c>
      <c r="L314" s="6" t="s">
        <v>3</v>
      </c>
      <c r="M314" s="7">
        <f>SUM(D314:D321)</f>
        <v>985</v>
      </c>
      <c r="O314" s="8" t="str">
        <f>A314</f>
        <v>Martin Methodist</v>
      </c>
      <c r="P314" s="7">
        <f>SUM(M314:M319)</f>
        <v>5467</v>
      </c>
    </row>
    <row r="315" spans="1:16">
      <c r="A315" s="6" t="s">
        <v>514</v>
      </c>
      <c r="B315" s="6" t="s">
        <v>516</v>
      </c>
      <c r="C315" s="6" t="s">
        <v>517</v>
      </c>
      <c r="D315" s="6">
        <v>172</v>
      </c>
      <c r="E315" s="6"/>
      <c r="F315" s="6">
        <v>221</v>
      </c>
      <c r="G315" s="6">
        <v>191</v>
      </c>
      <c r="H315" s="6">
        <v>180</v>
      </c>
      <c r="I315" s="6">
        <v>157</v>
      </c>
      <c r="J315" s="3">
        <f t="shared" si="5"/>
        <v>921</v>
      </c>
      <c r="L315" s="6" t="s">
        <v>4</v>
      </c>
      <c r="M315" s="7">
        <f>SUM(E314:E321)</f>
        <v>856</v>
      </c>
      <c r="O315" s="8"/>
      <c r="P315" s="7"/>
    </row>
    <row r="316" spans="1:16">
      <c r="A316" s="6" t="s">
        <v>514</v>
      </c>
      <c r="B316" s="6" t="s">
        <v>518</v>
      </c>
      <c r="C316" s="6" t="s">
        <v>519</v>
      </c>
      <c r="D316" s="6">
        <v>209</v>
      </c>
      <c r="E316" s="6">
        <v>167</v>
      </c>
      <c r="F316" s="6">
        <v>191</v>
      </c>
      <c r="G316" s="6">
        <v>139</v>
      </c>
      <c r="H316" s="6"/>
      <c r="I316" s="6"/>
      <c r="J316" s="3">
        <f t="shared" si="5"/>
        <v>706</v>
      </c>
      <c r="L316" s="6" t="s">
        <v>5</v>
      </c>
      <c r="M316" s="7">
        <f>SUM(F314:F321)</f>
        <v>955</v>
      </c>
      <c r="O316" s="8"/>
      <c r="P316" s="7"/>
    </row>
    <row r="317" spans="1:16">
      <c r="A317" s="6" t="s">
        <v>514</v>
      </c>
      <c r="B317" s="6" t="s">
        <v>159</v>
      </c>
      <c r="C317" s="6" t="s">
        <v>520</v>
      </c>
      <c r="D317" s="6">
        <v>183</v>
      </c>
      <c r="E317" s="6">
        <v>155</v>
      </c>
      <c r="F317" s="6">
        <v>155</v>
      </c>
      <c r="G317" s="6">
        <v>171</v>
      </c>
      <c r="H317" s="6">
        <v>149</v>
      </c>
      <c r="I317" s="6">
        <v>148</v>
      </c>
      <c r="J317" s="3">
        <f t="shared" si="5"/>
        <v>961</v>
      </c>
      <c r="L317" s="6" t="s">
        <v>6</v>
      </c>
      <c r="M317" s="7">
        <f>SUM(G314:G321)</f>
        <v>894</v>
      </c>
      <c r="O317" s="8"/>
      <c r="P317" s="7"/>
    </row>
    <row r="318" spans="1:16">
      <c r="A318" s="6" t="s">
        <v>514</v>
      </c>
      <c r="B318" s="6" t="s">
        <v>111</v>
      </c>
      <c r="C318" s="6" t="s">
        <v>521</v>
      </c>
      <c r="D318" s="6"/>
      <c r="E318" s="6">
        <v>152</v>
      </c>
      <c r="F318" s="6"/>
      <c r="G318" s="6"/>
      <c r="H318" s="6">
        <v>162</v>
      </c>
      <c r="I318" s="6"/>
      <c r="J318" s="3">
        <f t="shared" si="5"/>
        <v>314</v>
      </c>
      <c r="L318" s="6" t="s">
        <v>7</v>
      </c>
      <c r="M318" s="7">
        <f>SUM(H314:H321)</f>
        <v>825</v>
      </c>
      <c r="O318" s="8"/>
      <c r="P318" s="7"/>
    </row>
    <row r="319" spans="1:16">
      <c r="A319" s="6" t="s">
        <v>514</v>
      </c>
      <c r="B319" s="6" t="s">
        <v>522</v>
      </c>
      <c r="C319" s="6" t="s">
        <v>523</v>
      </c>
      <c r="D319" s="6"/>
      <c r="E319" s="6"/>
      <c r="F319" s="6"/>
      <c r="G319" s="6"/>
      <c r="H319" s="6"/>
      <c r="I319" s="6">
        <v>190</v>
      </c>
      <c r="J319" s="3">
        <f t="shared" si="5"/>
        <v>190</v>
      </c>
      <c r="L319" s="6" t="s">
        <v>8</v>
      </c>
      <c r="M319" s="7">
        <f>SUM(I314:I321)</f>
        <v>952</v>
      </c>
      <c r="O319" s="8"/>
      <c r="P319" s="7"/>
    </row>
    <row r="320" spans="1:16">
      <c r="A320" s="6" t="s">
        <v>514</v>
      </c>
      <c r="B320" s="6" t="s">
        <v>92</v>
      </c>
      <c r="C320" s="6" t="s">
        <v>524</v>
      </c>
      <c r="D320" s="6">
        <v>216</v>
      </c>
      <c r="E320" s="6">
        <v>177</v>
      </c>
      <c r="F320" s="6">
        <v>172</v>
      </c>
      <c r="G320" s="6">
        <v>192</v>
      </c>
      <c r="H320" s="6">
        <v>143</v>
      </c>
      <c r="I320" s="6"/>
      <c r="J320" s="3">
        <f t="shared" si="5"/>
        <v>900</v>
      </c>
      <c r="L320" s="6"/>
      <c r="M320" s="7"/>
      <c r="O320" s="8"/>
      <c r="P320" s="7"/>
    </row>
    <row r="321" spans="1:16">
      <c r="A321" s="6" t="s">
        <v>514</v>
      </c>
      <c r="B321" s="6" t="s">
        <v>493</v>
      </c>
      <c r="C321" s="6" t="s">
        <v>525</v>
      </c>
      <c r="D321" s="6"/>
      <c r="E321" s="6"/>
      <c r="F321" s="6"/>
      <c r="G321" s="6"/>
      <c r="H321" s="6"/>
      <c r="I321" s="6">
        <v>237</v>
      </c>
      <c r="J321" s="3">
        <f t="shared" si="5"/>
        <v>237</v>
      </c>
      <c r="L321" s="6"/>
      <c r="M321" s="7"/>
      <c r="O321" s="8"/>
      <c r="P321" s="7"/>
    </row>
    <row r="322" spans="1:16">
      <c r="A322" s="2" t="s">
        <v>526</v>
      </c>
      <c r="B322" s="2" t="s">
        <v>170</v>
      </c>
      <c r="C322" s="2" t="s">
        <v>527</v>
      </c>
      <c r="D322" s="2"/>
      <c r="E322" s="2"/>
      <c r="F322" s="2"/>
      <c r="G322" s="2"/>
      <c r="H322" s="2"/>
      <c r="I322" s="2"/>
      <c r="J322" s="3">
        <f t="shared" si="5"/>
        <v>0</v>
      </c>
      <c r="L322" s="2" t="s">
        <v>3</v>
      </c>
      <c r="M322" s="3">
        <f>SUM(D322:D329)</f>
        <v>718</v>
      </c>
      <c r="O322" s="4" t="str">
        <f>A322</f>
        <v>Arkansas - Fayetteville</v>
      </c>
      <c r="P322" s="3">
        <f>SUM(M322:M327)</f>
        <v>4604</v>
      </c>
    </row>
    <row r="323" spans="1:16">
      <c r="A323" s="2" t="s">
        <v>526</v>
      </c>
      <c r="B323" s="2" t="s">
        <v>101</v>
      </c>
      <c r="C323" s="2" t="s">
        <v>528</v>
      </c>
      <c r="D323" s="2">
        <v>141</v>
      </c>
      <c r="E323" s="2">
        <v>142</v>
      </c>
      <c r="F323" s="2">
        <v>140</v>
      </c>
      <c r="G323" s="2">
        <v>180</v>
      </c>
      <c r="H323" s="2">
        <v>213</v>
      </c>
      <c r="I323" s="2">
        <v>183</v>
      </c>
      <c r="J323" s="3">
        <f t="shared" si="5"/>
        <v>999</v>
      </c>
      <c r="L323" s="2" t="s">
        <v>4</v>
      </c>
      <c r="M323" s="3">
        <f>SUM(E322:E329)</f>
        <v>743</v>
      </c>
      <c r="O323" s="4"/>
      <c r="P323" s="3"/>
    </row>
    <row r="324" spans="1:16">
      <c r="A324" s="2" t="s">
        <v>526</v>
      </c>
      <c r="B324" s="2" t="s">
        <v>332</v>
      </c>
      <c r="C324" s="2" t="s">
        <v>529</v>
      </c>
      <c r="D324" s="2"/>
      <c r="E324" s="2"/>
      <c r="F324" s="2"/>
      <c r="G324" s="2"/>
      <c r="H324" s="2"/>
      <c r="I324" s="2"/>
      <c r="J324" s="3">
        <f t="shared" si="5"/>
        <v>0</v>
      </c>
      <c r="L324" s="2" t="s">
        <v>5</v>
      </c>
      <c r="M324" s="3">
        <f>SUM(F322:F329)</f>
        <v>772</v>
      </c>
      <c r="O324" s="4"/>
      <c r="P324" s="3"/>
    </row>
    <row r="325" spans="1:16">
      <c r="A325" s="2" t="s">
        <v>526</v>
      </c>
      <c r="B325" s="2" t="s">
        <v>530</v>
      </c>
      <c r="C325" s="2" t="s">
        <v>531</v>
      </c>
      <c r="D325" s="2">
        <v>101</v>
      </c>
      <c r="E325" s="2">
        <v>101</v>
      </c>
      <c r="F325" s="2">
        <v>127</v>
      </c>
      <c r="G325" s="2">
        <v>119</v>
      </c>
      <c r="H325" s="2">
        <v>94</v>
      </c>
      <c r="I325" s="2">
        <v>106</v>
      </c>
      <c r="J325" s="3">
        <f t="shared" si="5"/>
        <v>648</v>
      </c>
      <c r="L325" s="2" t="s">
        <v>6</v>
      </c>
      <c r="M325" s="3">
        <f>SUM(G322:G329)</f>
        <v>798</v>
      </c>
      <c r="O325" s="4"/>
      <c r="P325" s="3"/>
    </row>
    <row r="326" spans="1:16">
      <c r="A326" s="2" t="s">
        <v>526</v>
      </c>
      <c r="B326" s="2" t="s">
        <v>532</v>
      </c>
      <c r="C326" s="2" t="s">
        <v>533</v>
      </c>
      <c r="D326" s="2">
        <v>180</v>
      </c>
      <c r="E326" s="2">
        <v>174</v>
      </c>
      <c r="F326" s="2">
        <v>153</v>
      </c>
      <c r="G326" s="2">
        <v>124</v>
      </c>
      <c r="H326" s="2">
        <v>136</v>
      </c>
      <c r="I326" s="2">
        <v>180</v>
      </c>
      <c r="J326" s="3">
        <f t="shared" si="5"/>
        <v>947</v>
      </c>
      <c r="L326" s="2" t="s">
        <v>7</v>
      </c>
      <c r="M326" s="3">
        <f>SUM(H322:H329)</f>
        <v>765</v>
      </c>
      <c r="O326" s="4"/>
      <c r="P326" s="3"/>
    </row>
    <row r="327" spans="1:16">
      <c r="A327" s="2" t="s">
        <v>526</v>
      </c>
      <c r="B327" s="2" t="s">
        <v>89</v>
      </c>
      <c r="C327" s="2" t="s">
        <v>534</v>
      </c>
      <c r="D327" s="2">
        <v>135</v>
      </c>
      <c r="E327" s="2">
        <v>173</v>
      </c>
      <c r="F327" s="2">
        <v>166</v>
      </c>
      <c r="G327" s="2">
        <v>214</v>
      </c>
      <c r="H327" s="2">
        <v>189</v>
      </c>
      <c r="I327" s="2">
        <v>162</v>
      </c>
      <c r="J327" s="3">
        <f t="shared" si="5"/>
        <v>1039</v>
      </c>
      <c r="L327" s="2" t="s">
        <v>8</v>
      </c>
      <c r="M327" s="3">
        <f>SUM(I322:I329)</f>
        <v>808</v>
      </c>
      <c r="O327" s="4"/>
      <c r="P327" s="3"/>
    </row>
    <row r="328" spans="1:16">
      <c r="A328" s="2" t="s">
        <v>526</v>
      </c>
      <c r="B328" s="2" t="s">
        <v>245</v>
      </c>
      <c r="C328" s="2" t="s">
        <v>535</v>
      </c>
      <c r="D328" s="2">
        <v>161</v>
      </c>
      <c r="E328" s="2">
        <v>153</v>
      </c>
      <c r="F328" s="2">
        <v>186</v>
      </c>
      <c r="G328" s="2">
        <v>161</v>
      </c>
      <c r="H328" s="2">
        <v>133</v>
      </c>
      <c r="I328" s="2">
        <v>177</v>
      </c>
      <c r="J328" s="3">
        <f t="shared" si="5"/>
        <v>971</v>
      </c>
      <c r="L328" s="3"/>
      <c r="M328" s="3"/>
      <c r="O328" s="4"/>
      <c r="P328" s="3"/>
    </row>
    <row r="329" spans="1:16">
      <c r="A329" s="2" t="s">
        <v>526</v>
      </c>
      <c r="B329" s="2"/>
      <c r="C329" s="2"/>
      <c r="D329" s="2"/>
      <c r="E329" s="2"/>
      <c r="F329" s="2"/>
      <c r="G329" s="2"/>
      <c r="H329" s="2"/>
      <c r="I329" s="2"/>
      <c r="J329" s="3">
        <f t="shared" si="5"/>
        <v>0</v>
      </c>
      <c r="L329" s="2"/>
      <c r="M329" s="3"/>
      <c r="O329" s="4"/>
      <c r="P329" s="3"/>
    </row>
    <row r="330" spans="1:16">
      <c r="A330" s="6" t="s">
        <v>536</v>
      </c>
      <c r="B330" s="6" t="s">
        <v>467</v>
      </c>
      <c r="C330" s="6" t="s">
        <v>537</v>
      </c>
      <c r="D330" s="6">
        <v>205</v>
      </c>
      <c r="E330" s="6">
        <v>170</v>
      </c>
      <c r="F330" s="6">
        <v>188</v>
      </c>
      <c r="G330" s="6">
        <v>198</v>
      </c>
      <c r="H330" s="6">
        <v>162</v>
      </c>
      <c r="I330" s="6">
        <v>119</v>
      </c>
      <c r="J330" s="3">
        <f t="shared" si="5"/>
        <v>1042</v>
      </c>
      <c r="L330" s="6" t="s">
        <v>3</v>
      </c>
      <c r="M330" s="7">
        <f>SUM(D330:D337)</f>
        <v>927</v>
      </c>
      <c r="O330" s="8" t="str">
        <f>A330</f>
        <v>Wisconsin - Milwaukee</v>
      </c>
      <c r="P330" s="7">
        <f>SUM(M330:M335)</f>
        <v>5275</v>
      </c>
    </row>
    <row r="331" spans="1:16">
      <c r="A331" s="6" t="s">
        <v>536</v>
      </c>
      <c r="B331" s="6" t="s">
        <v>538</v>
      </c>
      <c r="C331" s="6" t="s">
        <v>539</v>
      </c>
      <c r="D331" s="6"/>
      <c r="E331" s="6"/>
      <c r="F331" s="6"/>
      <c r="G331" s="6"/>
      <c r="H331" s="6"/>
      <c r="I331" s="6">
        <v>125</v>
      </c>
      <c r="J331" s="3">
        <f t="shared" si="5"/>
        <v>125</v>
      </c>
      <c r="L331" s="6" t="s">
        <v>4</v>
      </c>
      <c r="M331" s="7">
        <f>SUM(E330:E337)</f>
        <v>873</v>
      </c>
      <c r="O331" s="8"/>
      <c r="P331" s="7"/>
    </row>
    <row r="332" spans="1:16">
      <c r="A332" s="6" t="s">
        <v>536</v>
      </c>
      <c r="B332" s="6" t="s">
        <v>55</v>
      </c>
      <c r="C332" s="6" t="s">
        <v>540</v>
      </c>
      <c r="D332" s="6"/>
      <c r="E332" s="6"/>
      <c r="F332" s="6"/>
      <c r="G332" s="6"/>
      <c r="H332" s="6"/>
      <c r="I332" s="6"/>
      <c r="J332" s="3">
        <f t="shared" si="5"/>
        <v>0</v>
      </c>
      <c r="L332" s="6" t="s">
        <v>5</v>
      </c>
      <c r="M332" s="7">
        <f>SUM(F330:F337)</f>
        <v>952</v>
      </c>
      <c r="O332" s="8"/>
      <c r="P332" s="7"/>
    </row>
    <row r="333" spans="1:16">
      <c r="A333" s="6" t="s">
        <v>536</v>
      </c>
      <c r="B333" s="6" t="s">
        <v>500</v>
      </c>
      <c r="C333" s="6" t="s">
        <v>541</v>
      </c>
      <c r="D333" s="6"/>
      <c r="E333" s="6"/>
      <c r="F333" s="6"/>
      <c r="G333" s="6"/>
      <c r="H333" s="6"/>
      <c r="I333" s="6"/>
      <c r="J333" s="3">
        <f t="shared" si="5"/>
        <v>0</v>
      </c>
      <c r="L333" s="6" t="s">
        <v>6</v>
      </c>
      <c r="M333" s="7">
        <f>SUM(G330:G337)</f>
        <v>895</v>
      </c>
      <c r="O333" s="8"/>
      <c r="P333" s="7"/>
    </row>
    <row r="334" spans="1:16">
      <c r="A334" s="6" t="s">
        <v>536</v>
      </c>
      <c r="B334" s="6" t="s">
        <v>23</v>
      </c>
      <c r="C334" s="6" t="s">
        <v>542</v>
      </c>
      <c r="D334" s="6">
        <v>206</v>
      </c>
      <c r="E334" s="6">
        <v>177</v>
      </c>
      <c r="F334" s="6">
        <v>210</v>
      </c>
      <c r="G334" s="6">
        <v>156</v>
      </c>
      <c r="H334" s="6">
        <v>215</v>
      </c>
      <c r="I334" s="6">
        <v>244</v>
      </c>
      <c r="J334" s="3">
        <f t="shared" si="5"/>
        <v>1208</v>
      </c>
      <c r="L334" s="6" t="s">
        <v>7</v>
      </c>
      <c r="M334" s="7">
        <f>SUM(H330:H337)</f>
        <v>818</v>
      </c>
      <c r="O334" s="8"/>
      <c r="P334" s="7"/>
    </row>
    <row r="335" spans="1:16">
      <c r="A335" s="6" t="s">
        <v>536</v>
      </c>
      <c r="B335" s="6" t="s">
        <v>72</v>
      </c>
      <c r="C335" s="6" t="s">
        <v>543</v>
      </c>
      <c r="D335" s="6">
        <v>158</v>
      </c>
      <c r="E335" s="6">
        <v>166</v>
      </c>
      <c r="F335" s="6">
        <v>189</v>
      </c>
      <c r="G335" s="6">
        <v>221</v>
      </c>
      <c r="H335" s="6">
        <v>148</v>
      </c>
      <c r="I335" s="6">
        <v>120</v>
      </c>
      <c r="J335" s="3">
        <f t="shared" si="5"/>
        <v>1002</v>
      </c>
      <c r="L335" s="6" t="s">
        <v>8</v>
      </c>
      <c r="M335" s="7">
        <f>SUM(I330:I337)</f>
        <v>810</v>
      </c>
      <c r="O335" s="8"/>
      <c r="P335" s="7"/>
    </row>
    <row r="336" spans="1:16">
      <c r="A336" s="6" t="s">
        <v>536</v>
      </c>
      <c r="B336" s="6" t="s">
        <v>92</v>
      </c>
      <c r="C336" s="6" t="s">
        <v>544</v>
      </c>
      <c r="D336" s="6">
        <v>189</v>
      </c>
      <c r="E336" s="6">
        <v>174</v>
      </c>
      <c r="F336" s="6">
        <v>198</v>
      </c>
      <c r="G336" s="6">
        <v>129</v>
      </c>
      <c r="H336" s="6">
        <v>150</v>
      </c>
      <c r="I336" s="6"/>
      <c r="J336" s="3">
        <f t="shared" si="5"/>
        <v>840</v>
      </c>
      <c r="L336" s="6"/>
      <c r="M336" s="7"/>
      <c r="O336" s="8"/>
      <c r="P336" s="7"/>
    </row>
    <row r="337" spans="1:16">
      <c r="A337" s="6" t="s">
        <v>536</v>
      </c>
      <c r="B337" s="6" t="s">
        <v>545</v>
      </c>
      <c r="C337" s="6" t="s">
        <v>546</v>
      </c>
      <c r="D337" s="6">
        <v>169</v>
      </c>
      <c r="E337" s="6">
        <v>186</v>
      </c>
      <c r="F337" s="6">
        <v>167</v>
      </c>
      <c r="G337" s="6">
        <v>191</v>
      </c>
      <c r="H337" s="6">
        <v>143</v>
      </c>
      <c r="I337" s="6">
        <v>202</v>
      </c>
      <c r="J337" s="3">
        <f t="shared" si="5"/>
        <v>1058</v>
      </c>
      <c r="L337" s="6"/>
      <c r="M337" s="7"/>
      <c r="O337" s="8"/>
      <c r="P337" s="7"/>
    </row>
    <row r="338" spans="1:16">
      <c r="A338" s="2" t="s">
        <v>547</v>
      </c>
      <c r="B338" s="2" t="s">
        <v>548</v>
      </c>
      <c r="C338" s="2" t="s">
        <v>549</v>
      </c>
      <c r="D338" s="2"/>
      <c r="E338" s="2"/>
      <c r="F338" s="2"/>
      <c r="G338" s="2"/>
      <c r="H338" s="2"/>
      <c r="I338" s="2"/>
      <c r="J338" s="3">
        <f t="shared" si="5"/>
        <v>0</v>
      </c>
      <c r="L338" s="2" t="s">
        <v>3</v>
      </c>
      <c r="M338" s="3">
        <f>SUM(D338:D345)</f>
        <v>933</v>
      </c>
      <c r="O338" s="4" t="str">
        <f>A338</f>
        <v>William Penn</v>
      </c>
      <c r="P338" s="3">
        <f>SUM(M338:M343)</f>
        <v>5636</v>
      </c>
    </row>
    <row r="339" spans="1:16">
      <c r="A339" s="2" t="s">
        <v>547</v>
      </c>
      <c r="B339" s="2" t="s">
        <v>35</v>
      </c>
      <c r="C339" s="2" t="s">
        <v>550</v>
      </c>
      <c r="D339" s="2">
        <v>181</v>
      </c>
      <c r="E339" s="2">
        <v>205</v>
      </c>
      <c r="F339" s="2">
        <v>180</v>
      </c>
      <c r="G339" s="2">
        <v>223</v>
      </c>
      <c r="H339" s="2">
        <v>200</v>
      </c>
      <c r="I339" s="2">
        <v>170</v>
      </c>
      <c r="J339" s="3">
        <f t="shared" ref="J339:J402" si="6">SUM(D339:I339)</f>
        <v>1159</v>
      </c>
      <c r="L339" s="2" t="s">
        <v>4</v>
      </c>
      <c r="M339" s="3">
        <f>SUM(E338:E345)</f>
        <v>967</v>
      </c>
      <c r="O339" s="4"/>
      <c r="P339" s="3"/>
    </row>
    <row r="340" spans="1:16">
      <c r="A340" s="2" t="s">
        <v>547</v>
      </c>
      <c r="B340" s="2" t="s">
        <v>250</v>
      </c>
      <c r="C340" s="2" t="s">
        <v>551</v>
      </c>
      <c r="D340" s="2">
        <v>206</v>
      </c>
      <c r="E340" s="2">
        <v>213</v>
      </c>
      <c r="F340" s="2">
        <v>176</v>
      </c>
      <c r="G340" s="2">
        <v>182</v>
      </c>
      <c r="H340" s="2">
        <v>166</v>
      </c>
      <c r="I340" s="2">
        <v>174</v>
      </c>
      <c r="J340" s="3">
        <f t="shared" si="6"/>
        <v>1117</v>
      </c>
      <c r="L340" s="2" t="s">
        <v>5</v>
      </c>
      <c r="M340" s="3">
        <f>SUM(F338:F345)</f>
        <v>896</v>
      </c>
      <c r="O340" s="4"/>
      <c r="P340" s="3"/>
    </row>
    <row r="341" spans="1:16">
      <c r="A341" s="2" t="s">
        <v>547</v>
      </c>
      <c r="B341" s="2" t="s">
        <v>70</v>
      </c>
      <c r="C341" s="2" t="s">
        <v>552</v>
      </c>
      <c r="D341" s="2">
        <v>145</v>
      </c>
      <c r="E341" s="2"/>
      <c r="F341" s="2"/>
      <c r="G341" s="2"/>
      <c r="H341" s="2"/>
      <c r="I341" s="2"/>
      <c r="J341" s="3">
        <f t="shared" si="6"/>
        <v>145</v>
      </c>
      <c r="L341" s="2" t="s">
        <v>6</v>
      </c>
      <c r="M341" s="3">
        <f>SUM(G338:G345)</f>
        <v>930</v>
      </c>
      <c r="O341" s="4"/>
      <c r="P341" s="3"/>
    </row>
    <row r="342" spans="1:16">
      <c r="A342" s="2" t="s">
        <v>547</v>
      </c>
      <c r="B342" s="2" t="s">
        <v>23</v>
      </c>
      <c r="C342" s="2" t="s">
        <v>348</v>
      </c>
      <c r="D342" s="2">
        <v>222</v>
      </c>
      <c r="E342" s="2">
        <v>168</v>
      </c>
      <c r="F342" s="2">
        <v>193</v>
      </c>
      <c r="G342" s="2">
        <v>181</v>
      </c>
      <c r="H342" s="2">
        <v>171</v>
      </c>
      <c r="I342" s="2">
        <v>226</v>
      </c>
      <c r="J342" s="3">
        <f t="shared" si="6"/>
        <v>1161</v>
      </c>
      <c r="L342" s="2" t="s">
        <v>7</v>
      </c>
      <c r="M342" s="3">
        <f>SUM(H338:H345)</f>
        <v>956</v>
      </c>
      <c r="O342" s="4"/>
      <c r="P342" s="3"/>
    </row>
    <row r="343" spans="1:16">
      <c r="A343" s="2" t="s">
        <v>547</v>
      </c>
      <c r="B343" s="5" t="s">
        <v>553</v>
      </c>
      <c r="C343" s="5" t="s">
        <v>554</v>
      </c>
      <c r="E343" s="2">
        <v>192</v>
      </c>
      <c r="F343" s="2">
        <v>191</v>
      </c>
      <c r="G343" s="2">
        <v>184</v>
      </c>
      <c r="H343" s="2">
        <v>225</v>
      </c>
      <c r="I343" s="2">
        <v>170</v>
      </c>
      <c r="J343" s="3">
        <f t="shared" si="6"/>
        <v>962</v>
      </c>
      <c r="L343" s="2" t="s">
        <v>8</v>
      </c>
      <c r="M343" s="3">
        <f>SUM(I338:I345)</f>
        <v>954</v>
      </c>
      <c r="O343" s="4"/>
      <c r="P343" s="3"/>
    </row>
    <row r="344" spans="1:16">
      <c r="A344" s="2" t="s">
        <v>547</v>
      </c>
      <c r="B344" s="2" t="s">
        <v>92</v>
      </c>
      <c r="C344" s="2" t="s">
        <v>412</v>
      </c>
      <c r="D344" s="2"/>
      <c r="E344" s="2"/>
      <c r="F344" s="2"/>
      <c r="G344" s="2"/>
      <c r="H344" s="2">
        <v>194</v>
      </c>
      <c r="I344" s="2">
        <v>214</v>
      </c>
      <c r="J344" s="3">
        <f t="shared" si="6"/>
        <v>408</v>
      </c>
      <c r="L344" s="3"/>
      <c r="M344" s="3"/>
      <c r="O344" s="4"/>
      <c r="P344" s="3"/>
    </row>
    <row r="345" spans="1:16">
      <c r="A345" s="2" t="s">
        <v>547</v>
      </c>
      <c r="B345" s="2" t="s">
        <v>555</v>
      </c>
      <c r="C345" s="2" t="s">
        <v>556</v>
      </c>
      <c r="D345" s="2">
        <v>179</v>
      </c>
      <c r="E345" s="2">
        <v>189</v>
      </c>
      <c r="F345" s="2">
        <v>156</v>
      </c>
      <c r="G345" s="2">
        <v>160</v>
      </c>
      <c r="H345" s="2"/>
      <c r="I345" s="2"/>
      <c r="J345" s="3">
        <f t="shared" si="6"/>
        <v>684</v>
      </c>
      <c r="L345" s="2"/>
      <c r="M345" s="3"/>
      <c r="O345" s="4"/>
      <c r="P345" s="3"/>
    </row>
    <row r="346" spans="1:16">
      <c r="A346" s="6" t="s">
        <v>557</v>
      </c>
      <c r="B346" s="6" t="s">
        <v>558</v>
      </c>
      <c r="C346" s="6" t="s">
        <v>559</v>
      </c>
      <c r="D346" s="6"/>
      <c r="E346" s="6"/>
      <c r="F346" s="6"/>
      <c r="G346" s="6"/>
      <c r="H346" s="6"/>
      <c r="I346" s="6"/>
      <c r="J346" s="3">
        <f t="shared" si="6"/>
        <v>0</v>
      </c>
      <c r="L346" s="6" t="s">
        <v>3</v>
      </c>
      <c r="M346" s="7">
        <f>SUM(D346:D353)</f>
        <v>889</v>
      </c>
      <c r="O346" s="8" t="str">
        <f>A346</f>
        <v>SUNY - Stony Brook</v>
      </c>
      <c r="P346" s="7">
        <f>SUM(M346:M351)</f>
        <v>5476</v>
      </c>
    </row>
    <row r="347" spans="1:16">
      <c r="A347" s="6" t="s">
        <v>557</v>
      </c>
      <c r="B347" s="6" t="s">
        <v>424</v>
      </c>
      <c r="C347" s="6" t="s">
        <v>560</v>
      </c>
      <c r="D347" s="6">
        <v>181</v>
      </c>
      <c r="E347" s="6">
        <v>165</v>
      </c>
      <c r="F347" s="6">
        <v>181</v>
      </c>
      <c r="G347" s="6">
        <v>149</v>
      </c>
      <c r="H347" s="6">
        <v>222</v>
      </c>
      <c r="I347" s="6">
        <v>189</v>
      </c>
      <c r="J347" s="3">
        <f t="shared" si="6"/>
        <v>1087</v>
      </c>
      <c r="L347" s="6" t="s">
        <v>4</v>
      </c>
      <c r="M347" s="7">
        <f>SUM(E346:E353)</f>
        <v>830</v>
      </c>
      <c r="O347" s="8"/>
      <c r="P347" s="7"/>
    </row>
    <row r="348" spans="1:16">
      <c r="A348" s="6" t="s">
        <v>557</v>
      </c>
      <c r="B348" s="6" t="s">
        <v>36</v>
      </c>
      <c r="C348" s="6" t="s">
        <v>561</v>
      </c>
      <c r="D348" s="6">
        <v>202</v>
      </c>
      <c r="E348" s="6">
        <v>177</v>
      </c>
      <c r="F348" s="6">
        <v>213</v>
      </c>
      <c r="G348" s="6">
        <v>159</v>
      </c>
      <c r="H348" s="6">
        <v>200</v>
      </c>
      <c r="I348" s="6">
        <v>144</v>
      </c>
      <c r="J348" s="3">
        <f t="shared" si="6"/>
        <v>1095</v>
      </c>
      <c r="L348" s="6" t="s">
        <v>5</v>
      </c>
      <c r="M348" s="7">
        <f>SUM(F346:F353)</f>
        <v>973</v>
      </c>
      <c r="O348" s="8"/>
      <c r="P348" s="7"/>
    </row>
    <row r="349" spans="1:16">
      <c r="A349" s="6" t="s">
        <v>557</v>
      </c>
      <c r="B349" s="6" t="s">
        <v>36</v>
      </c>
      <c r="C349" s="6" t="s">
        <v>562</v>
      </c>
      <c r="D349" s="6">
        <v>132</v>
      </c>
      <c r="E349" s="6">
        <v>197</v>
      </c>
      <c r="F349" s="6">
        <v>193</v>
      </c>
      <c r="G349" s="6">
        <v>183</v>
      </c>
      <c r="H349" s="6">
        <v>236</v>
      </c>
      <c r="I349" s="6">
        <v>219</v>
      </c>
      <c r="J349" s="3">
        <f t="shared" si="6"/>
        <v>1160</v>
      </c>
      <c r="L349" s="6" t="s">
        <v>6</v>
      </c>
      <c r="M349" s="7">
        <f>SUM(G346:G353)</f>
        <v>824</v>
      </c>
      <c r="O349" s="8"/>
      <c r="P349" s="7"/>
    </row>
    <row r="350" spans="1:16">
      <c r="A350" s="6" t="s">
        <v>557</v>
      </c>
      <c r="B350" s="6" t="s">
        <v>351</v>
      </c>
      <c r="C350" s="6" t="s">
        <v>563</v>
      </c>
      <c r="D350" s="6">
        <v>175</v>
      </c>
      <c r="E350" s="6">
        <v>160</v>
      </c>
      <c r="F350" s="6">
        <v>203</v>
      </c>
      <c r="G350" s="6">
        <v>135</v>
      </c>
      <c r="H350" s="6">
        <v>195</v>
      </c>
      <c r="I350" s="6">
        <v>131</v>
      </c>
      <c r="J350" s="3">
        <f t="shared" si="6"/>
        <v>999</v>
      </c>
      <c r="L350" s="6" t="s">
        <v>7</v>
      </c>
      <c r="M350" s="7">
        <f>SUM(H346:H353)</f>
        <v>1066</v>
      </c>
      <c r="O350" s="8"/>
      <c r="P350" s="7"/>
    </row>
    <row r="351" spans="1:16">
      <c r="A351" s="6" t="s">
        <v>557</v>
      </c>
      <c r="B351" s="6" t="s">
        <v>83</v>
      </c>
      <c r="C351" s="6" t="s">
        <v>564</v>
      </c>
      <c r="D351" s="6">
        <v>199</v>
      </c>
      <c r="E351" s="6">
        <v>131</v>
      </c>
      <c r="F351" s="6">
        <v>183</v>
      </c>
      <c r="G351" s="6">
        <v>198</v>
      </c>
      <c r="H351" s="6">
        <v>213</v>
      </c>
      <c r="I351" s="6">
        <v>211</v>
      </c>
      <c r="J351" s="3">
        <f t="shared" si="6"/>
        <v>1135</v>
      </c>
      <c r="L351" s="6" t="s">
        <v>8</v>
      </c>
      <c r="M351" s="7">
        <f>SUM(I346:I353)</f>
        <v>894</v>
      </c>
      <c r="O351" s="8"/>
      <c r="P351" s="7"/>
    </row>
    <row r="352" spans="1:16">
      <c r="A352" s="6" t="s">
        <v>557</v>
      </c>
      <c r="B352" s="6"/>
      <c r="C352" s="6"/>
      <c r="D352" s="6"/>
      <c r="E352" s="6"/>
      <c r="F352" s="6"/>
      <c r="G352" s="6"/>
      <c r="H352" s="6"/>
      <c r="I352" s="6"/>
      <c r="J352" s="3">
        <f t="shared" si="6"/>
        <v>0</v>
      </c>
      <c r="L352" s="6"/>
      <c r="M352" s="7"/>
      <c r="O352" s="8"/>
      <c r="P352" s="7"/>
    </row>
    <row r="353" spans="1:16">
      <c r="A353" s="6" t="s">
        <v>557</v>
      </c>
      <c r="B353" s="6"/>
      <c r="C353" s="6"/>
      <c r="D353" s="6"/>
      <c r="E353" s="6"/>
      <c r="F353" s="6"/>
      <c r="G353" s="6"/>
      <c r="H353" s="6"/>
      <c r="I353" s="6"/>
      <c r="J353" s="3">
        <f t="shared" si="6"/>
        <v>0</v>
      </c>
      <c r="L353" s="6"/>
      <c r="M353" s="7"/>
      <c r="O353" s="8"/>
      <c r="P353" s="7"/>
    </row>
    <row r="354" spans="1:16">
      <c r="A354" s="2" t="s">
        <v>565</v>
      </c>
      <c r="B354" s="2" t="s">
        <v>45</v>
      </c>
      <c r="C354" s="2" t="s">
        <v>566</v>
      </c>
      <c r="D354" s="2">
        <v>148</v>
      </c>
      <c r="E354" s="2"/>
      <c r="F354" s="2">
        <v>211</v>
      </c>
      <c r="G354" s="2">
        <v>211</v>
      </c>
      <c r="H354" s="2">
        <v>214</v>
      </c>
      <c r="I354" s="2">
        <v>206</v>
      </c>
      <c r="J354" s="3">
        <f t="shared" si="6"/>
        <v>990</v>
      </c>
      <c r="L354" s="2" t="s">
        <v>3</v>
      </c>
      <c r="M354" s="3">
        <f>SUM(D354:D361)</f>
        <v>805</v>
      </c>
      <c r="O354" s="4" t="str">
        <f>A354</f>
        <v>RIT</v>
      </c>
      <c r="P354" s="3">
        <f>SUM(M354:M359)</f>
        <v>5438</v>
      </c>
    </row>
    <row r="355" spans="1:16">
      <c r="A355" s="2" t="s">
        <v>565</v>
      </c>
      <c r="B355" s="2" t="s">
        <v>567</v>
      </c>
      <c r="C355" s="2" t="s">
        <v>568</v>
      </c>
      <c r="D355" s="2">
        <v>135</v>
      </c>
      <c r="E355" s="2">
        <v>138</v>
      </c>
      <c r="F355" s="2">
        <v>192</v>
      </c>
      <c r="G355" s="2">
        <v>157</v>
      </c>
      <c r="H355" s="2">
        <v>236</v>
      </c>
      <c r="I355" s="2">
        <v>259</v>
      </c>
      <c r="J355" s="3">
        <f t="shared" si="6"/>
        <v>1117</v>
      </c>
      <c r="L355" s="2" t="s">
        <v>4</v>
      </c>
      <c r="M355" s="3">
        <f>SUM(E354:E361)</f>
        <v>793</v>
      </c>
      <c r="O355" s="4"/>
      <c r="P355" s="3"/>
    </row>
    <row r="356" spans="1:16">
      <c r="A356" s="2" t="s">
        <v>565</v>
      </c>
      <c r="B356" s="2" t="s">
        <v>569</v>
      </c>
      <c r="C356" s="2" t="s">
        <v>570</v>
      </c>
      <c r="D356" s="2"/>
      <c r="E356" s="2">
        <v>129</v>
      </c>
      <c r="F356" s="2"/>
      <c r="G356" s="2"/>
      <c r="H356" s="2"/>
      <c r="I356" s="2">
        <v>175</v>
      </c>
      <c r="J356" s="3">
        <f t="shared" si="6"/>
        <v>304</v>
      </c>
      <c r="L356" s="2" t="s">
        <v>5</v>
      </c>
      <c r="M356" s="3">
        <f>SUM(F354:F361)</f>
        <v>977</v>
      </c>
      <c r="O356" s="4"/>
      <c r="P356" s="3"/>
    </row>
    <row r="357" spans="1:16">
      <c r="A357" s="2" t="s">
        <v>565</v>
      </c>
      <c r="B357" s="2" t="s">
        <v>498</v>
      </c>
      <c r="C357" s="2" t="s">
        <v>571</v>
      </c>
      <c r="D357" s="2">
        <v>179</v>
      </c>
      <c r="E357" s="2">
        <v>156</v>
      </c>
      <c r="F357" s="2">
        <v>201</v>
      </c>
      <c r="G357" s="2">
        <v>171</v>
      </c>
      <c r="H357" s="2">
        <v>210</v>
      </c>
      <c r="I357" s="2">
        <v>203</v>
      </c>
      <c r="J357" s="3">
        <f t="shared" si="6"/>
        <v>1120</v>
      </c>
      <c r="L357" s="2" t="s">
        <v>6</v>
      </c>
      <c r="M357" s="3">
        <f>SUM(G354:G361)</f>
        <v>872</v>
      </c>
      <c r="O357" s="4"/>
      <c r="P357" s="3"/>
    </row>
    <row r="358" spans="1:16">
      <c r="A358" s="2" t="s">
        <v>565</v>
      </c>
      <c r="B358" s="2" t="s">
        <v>266</v>
      </c>
      <c r="C358" s="2" t="s">
        <v>572</v>
      </c>
      <c r="D358" s="2">
        <v>178</v>
      </c>
      <c r="E358" s="2">
        <v>178</v>
      </c>
      <c r="F358" s="2">
        <v>160</v>
      </c>
      <c r="G358" s="2">
        <v>156</v>
      </c>
      <c r="H358" s="2">
        <v>123</v>
      </c>
      <c r="I358" s="2"/>
      <c r="J358" s="3">
        <f t="shared" si="6"/>
        <v>795</v>
      </c>
      <c r="L358" s="2" t="s">
        <v>7</v>
      </c>
      <c r="M358" s="3">
        <f>SUM(H354:H361)</f>
        <v>983</v>
      </c>
      <c r="O358" s="4"/>
      <c r="P358" s="3"/>
    </row>
    <row r="359" spans="1:16">
      <c r="A359" s="2" t="s">
        <v>565</v>
      </c>
      <c r="B359" s="2" t="s">
        <v>573</v>
      </c>
      <c r="C359" s="2" t="s">
        <v>574</v>
      </c>
      <c r="D359" s="2">
        <v>165</v>
      </c>
      <c r="E359" s="2">
        <v>192</v>
      </c>
      <c r="F359" s="2">
        <v>213</v>
      </c>
      <c r="G359" s="2">
        <v>177</v>
      </c>
      <c r="H359" s="2">
        <v>200</v>
      </c>
      <c r="I359" s="2">
        <v>165</v>
      </c>
      <c r="J359" s="3">
        <f t="shared" si="6"/>
        <v>1112</v>
      </c>
      <c r="L359" s="2" t="s">
        <v>8</v>
      </c>
      <c r="M359" s="3">
        <f>SUM(I354:I361)</f>
        <v>1008</v>
      </c>
      <c r="O359" s="4"/>
      <c r="P359" s="3"/>
    </row>
    <row r="360" spans="1:16">
      <c r="A360" s="2" t="s">
        <v>565</v>
      </c>
      <c r="B360" s="2"/>
      <c r="C360" s="2"/>
      <c r="D360" s="2"/>
      <c r="E360" s="2"/>
      <c r="F360" s="2"/>
      <c r="G360" s="2"/>
      <c r="H360" s="2"/>
      <c r="I360" s="2"/>
      <c r="J360" s="3">
        <f t="shared" si="6"/>
        <v>0</v>
      </c>
      <c r="L360" s="3"/>
      <c r="M360" s="3"/>
      <c r="O360" s="4"/>
      <c r="P360" s="3"/>
    </row>
    <row r="361" spans="1:16">
      <c r="A361" s="2" t="s">
        <v>565</v>
      </c>
      <c r="B361" s="2"/>
      <c r="C361" s="2"/>
      <c r="D361" s="2"/>
      <c r="E361" s="2"/>
      <c r="F361" s="2"/>
      <c r="G361" s="2"/>
      <c r="H361" s="2"/>
      <c r="I361" s="2"/>
      <c r="J361" s="3">
        <f t="shared" si="6"/>
        <v>0</v>
      </c>
      <c r="L361" s="2"/>
      <c r="M361" s="3"/>
      <c r="O361" s="4"/>
      <c r="P361" s="3"/>
    </row>
    <row r="362" spans="1:16">
      <c r="A362" s="6" t="s">
        <v>575</v>
      </c>
      <c r="B362" s="6" t="s">
        <v>467</v>
      </c>
      <c r="C362" s="6" t="s">
        <v>576</v>
      </c>
      <c r="D362" s="6">
        <v>223</v>
      </c>
      <c r="E362" s="6">
        <v>200</v>
      </c>
      <c r="F362" s="6">
        <v>168</v>
      </c>
      <c r="G362" s="6">
        <v>173</v>
      </c>
      <c r="H362" s="6">
        <v>218</v>
      </c>
      <c r="I362" s="6">
        <v>192</v>
      </c>
      <c r="J362" s="3">
        <f t="shared" si="6"/>
        <v>1174</v>
      </c>
      <c r="L362" s="6" t="s">
        <v>3</v>
      </c>
      <c r="M362" s="7">
        <f>SUM(D362:D369)</f>
        <v>902</v>
      </c>
      <c r="O362" s="8" t="str">
        <f>A362</f>
        <v>Pikeville</v>
      </c>
      <c r="P362" s="7">
        <f>SUM(M362:M367)</f>
        <v>5835</v>
      </c>
    </row>
    <row r="363" spans="1:16">
      <c r="A363" s="6" t="s">
        <v>575</v>
      </c>
      <c r="B363" s="6" t="s">
        <v>45</v>
      </c>
      <c r="C363" s="6" t="s">
        <v>577</v>
      </c>
      <c r="D363" s="6">
        <v>175</v>
      </c>
      <c r="E363" s="6">
        <v>201</v>
      </c>
      <c r="F363" s="6">
        <v>201</v>
      </c>
      <c r="G363" s="6">
        <v>278</v>
      </c>
      <c r="H363" s="6">
        <v>233</v>
      </c>
      <c r="I363" s="6">
        <v>247</v>
      </c>
      <c r="J363" s="3">
        <f t="shared" si="6"/>
        <v>1335</v>
      </c>
      <c r="L363" s="6" t="s">
        <v>4</v>
      </c>
      <c r="M363" s="7">
        <f>SUM(E362:E369)</f>
        <v>942</v>
      </c>
      <c r="O363" s="8"/>
      <c r="P363" s="7"/>
    </row>
    <row r="364" spans="1:16">
      <c r="A364" s="6" t="s">
        <v>575</v>
      </c>
      <c r="B364" s="6" t="s">
        <v>170</v>
      </c>
      <c r="C364" s="6" t="s">
        <v>578</v>
      </c>
      <c r="D364" s="6">
        <v>172</v>
      </c>
      <c r="E364" s="6">
        <v>192</v>
      </c>
      <c r="F364" s="6">
        <v>179</v>
      </c>
      <c r="G364" s="6">
        <v>181</v>
      </c>
      <c r="H364" s="6">
        <v>225</v>
      </c>
      <c r="I364" s="6">
        <v>221</v>
      </c>
      <c r="J364" s="3">
        <f t="shared" si="6"/>
        <v>1170</v>
      </c>
      <c r="L364" s="6" t="s">
        <v>5</v>
      </c>
      <c r="M364" s="7">
        <f>SUM(F362:F369)</f>
        <v>910</v>
      </c>
      <c r="O364" s="8"/>
      <c r="P364" s="7"/>
    </row>
    <row r="365" spans="1:16">
      <c r="A365" s="6" t="s">
        <v>575</v>
      </c>
      <c r="B365" s="6" t="s">
        <v>30</v>
      </c>
      <c r="C365" s="6" t="s">
        <v>579</v>
      </c>
      <c r="D365" s="6"/>
      <c r="E365" s="6">
        <v>179</v>
      </c>
      <c r="F365" s="6">
        <v>176</v>
      </c>
      <c r="G365" s="6"/>
      <c r="H365" s="6"/>
      <c r="I365" s="6"/>
      <c r="J365" s="3">
        <f t="shared" si="6"/>
        <v>355</v>
      </c>
      <c r="L365" s="6" t="s">
        <v>6</v>
      </c>
      <c r="M365" s="7">
        <f>SUM(G362:G369)</f>
        <v>987</v>
      </c>
      <c r="O365" s="8"/>
      <c r="P365" s="7"/>
    </row>
    <row r="366" spans="1:16">
      <c r="A366" s="6" t="s">
        <v>575</v>
      </c>
      <c r="B366" s="6" t="s">
        <v>266</v>
      </c>
      <c r="C366" s="6" t="s">
        <v>580</v>
      </c>
      <c r="D366" s="6"/>
      <c r="E366" s="6"/>
      <c r="F366" s="6"/>
      <c r="G366" s="6"/>
      <c r="H366" s="6"/>
      <c r="I366" s="6"/>
      <c r="J366" s="3">
        <f t="shared" si="6"/>
        <v>0</v>
      </c>
      <c r="L366" s="6" t="s">
        <v>7</v>
      </c>
      <c r="M366" s="7">
        <f>SUM(H362:H369)</f>
        <v>1040</v>
      </c>
      <c r="O366" s="8"/>
      <c r="P366" s="7"/>
    </row>
    <row r="367" spans="1:16">
      <c r="A367" s="6" t="s">
        <v>575</v>
      </c>
      <c r="B367" s="6" t="s">
        <v>199</v>
      </c>
      <c r="C367" s="6" t="s">
        <v>581</v>
      </c>
      <c r="D367" s="6">
        <v>171</v>
      </c>
      <c r="E367" s="6">
        <v>170</v>
      </c>
      <c r="F367" s="6">
        <v>186</v>
      </c>
      <c r="G367" s="6">
        <v>174</v>
      </c>
      <c r="H367" s="6">
        <v>192</v>
      </c>
      <c r="I367" s="6">
        <v>204</v>
      </c>
      <c r="J367" s="3">
        <f t="shared" si="6"/>
        <v>1097</v>
      </c>
      <c r="L367" s="6" t="s">
        <v>8</v>
      </c>
      <c r="M367" s="7">
        <f>SUM(I362:I369)</f>
        <v>1054</v>
      </c>
      <c r="O367" s="8"/>
      <c r="P367" s="7"/>
    </row>
    <row r="368" spans="1:16">
      <c r="A368" s="6" t="s">
        <v>575</v>
      </c>
      <c r="B368" s="6" t="s">
        <v>199</v>
      </c>
      <c r="C368" s="6" t="s">
        <v>582</v>
      </c>
      <c r="D368" s="6">
        <v>161</v>
      </c>
      <c r="E368" s="6"/>
      <c r="F368" s="6"/>
      <c r="G368" s="6">
        <v>181</v>
      </c>
      <c r="H368" s="6">
        <v>172</v>
      </c>
      <c r="I368" s="6"/>
      <c r="J368" s="3">
        <f t="shared" si="6"/>
        <v>514</v>
      </c>
      <c r="L368" s="6"/>
      <c r="M368" s="7"/>
      <c r="O368" s="8"/>
      <c r="P368" s="7"/>
    </row>
    <row r="369" spans="1:16">
      <c r="A369" s="6" t="s">
        <v>575</v>
      </c>
      <c r="B369" s="6" t="s">
        <v>59</v>
      </c>
      <c r="C369" s="6" t="s">
        <v>583</v>
      </c>
      <c r="D369" s="6"/>
      <c r="E369" s="6"/>
      <c r="F369" s="6"/>
      <c r="G369" s="6"/>
      <c r="H369" s="6"/>
      <c r="I369" s="6">
        <v>190</v>
      </c>
      <c r="J369" s="3">
        <f t="shared" si="6"/>
        <v>190</v>
      </c>
      <c r="L369" s="6"/>
      <c r="M369" s="7"/>
      <c r="O369" s="8"/>
      <c r="P369" s="7"/>
    </row>
    <row r="370" spans="1:16">
      <c r="A370" s="2" t="s">
        <v>584</v>
      </c>
      <c r="B370" s="2" t="s">
        <v>585</v>
      </c>
      <c r="C370" s="2" t="s">
        <v>586</v>
      </c>
      <c r="D370" s="2">
        <v>177</v>
      </c>
      <c r="E370" s="2">
        <v>168</v>
      </c>
      <c r="F370" s="2">
        <v>158</v>
      </c>
      <c r="G370" s="2">
        <v>195</v>
      </c>
      <c r="H370" s="2">
        <v>168</v>
      </c>
      <c r="I370" s="2">
        <v>143</v>
      </c>
      <c r="J370" s="3">
        <f t="shared" si="6"/>
        <v>1009</v>
      </c>
      <c r="L370" s="2" t="s">
        <v>3</v>
      </c>
      <c r="M370" s="3">
        <f>SUM(D370:D377)</f>
        <v>960</v>
      </c>
      <c r="O370" s="4" t="str">
        <f>A370</f>
        <v>Waldorf</v>
      </c>
      <c r="P370" s="3">
        <f>SUM(M370:M375)</f>
        <v>5608</v>
      </c>
    </row>
    <row r="371" spans="1:16">
      <c r="A371" s="2" t="s">
        <v>584</v>
      </c>
      <c r="B371" s="2" t="s">
        <v>89</v>
      </c>
      <c r="C371" s="2" t="s">
        <v>587</v>
      </c>
      <c r="D371" s="2">
        <v>185</v>
      </c>
      <c r="E371" s="2">
        <v>191</v>
      </c>
      <c r="F371" s="2">
        <v>193</v>
      </c>
      <c r="G371" s="2">
        <v>189</v>
      </c>
      <c r="H371" s="2">
        <v>124</v>
      </c>
      <c r="I371" s="2"/>
      <c r="J371" s="3">
        <f t="shared" si="6"/>
        <v>882</v>
      </c>
      <c r="L371" s="2" t="s">
        <v>4</v>
      </c>
      <c r="M371" s="3">
        <f>SUM(E370:E377)</f>
        <v>949</v>
      </c>
      <c r="O371" s="4"/>
      <c r="P371" s="3"/>
    </row>
    <row r="372" spans="1:16">
      <c r="A372" s="2" t="s">
        <v>584</v>
      </c>
      <c r="B372" s="2" t="s">
        <v>36</v>
      </c>
      <c r="C372" s="2" t="s">
        <v>588</v>
      </c>
      <c r="D372" s="2"/>
      <c r="E372" s="2"/>
      <c r="F372" s="2">
        <v>146</v>
      </c>
      <c r="G372" s="2"/>
      <c r="H372" s="2"/>
      <c r="I372" s="2">
        <v>170</v>
      </c>
      <c r="J372" s="3">
        <f t="shared" si="6"/>
        <v>316</v>
      </c>
      <c r="L372" s="2" t="s">
        <v>5</v>
      </c>
      <c r="M372" s="3">
        <f>SUM(F370:F377)</f>
        <v>865</v>
      </c>
      <c r="O372" s="4"/>
      <c r="P372" s="3"/>
    </row>
    <row r="373" spans="1:16">
      <c r="A373" s="2" t="s">
        <v>584</v>
      </c>
      <c r="B373" s="2" t="s">
        <v>422</v>
      </c>
      <c r="C373" s="2" t="s">
        <v>589</v>
      </c>
      <c r="D373" s="2">
        <v>195</v>
      </c>
      <c r="E373" s="2">
        <v>223</v>
      </c>
      <c r="F373" s="2">
        <v>172</v>
      </c>
      <c r="G373" s="2">
        <v>229</v>
      </c>
      <c r="H373" s="2">
        <v>179</v>
      </c>
      <c r="I373" s="2">
        <v>210</v>
      </c>
      <c r="J373" s="3">
        <f t="shared" si="6"/>
        <v>1208</v>
      </c>
      <c r="L373" s="2" t="s">
        <v>6</v>
      </c>
      <c r="M373" s="3">
        <f>SUM(G370:G377)</f>
        <v>996</v>
      </c>
      <c r="O373" s="4"/>
      <c r="P373" s="3"/>
    </row>
    <row r="374" spans="1:16">
      <c r="A374" s="2" t="s">
        <v>584</v>
      </c>
      <c r="B374" s="2" t="s">
        <v>590</v>
      </c>
      <c r="C374" s="2" t="s">
        <v>591</v>
      </c>
      <c r="D374" s="2">
        <v>212</v>
      </c>
      <c r="E374" s="2">
        <v>207</v>
      </c>
      <c r="F374" s="2">
        <v>196</v>
      </c>
      <c r="G374" s="2">
        <v>190</v>
      </c>
      <c r="H374" s="2">
        <v>248</v>
      </c>
      <c r="I374" s="2">
        <v>257</v>
      </c>
      <c r="J374" s="3">
        <f t="shared" si="6"/>
        <v>1310</v>
      </c>
      <c r="L374" s="2" t="s">
        <v>7</v>
      </c>
      <c r="M374" s="3">
        <f>SUM(H370:H377)</f>
        <v>900</v>
      </c>
      <c r="O374" s="4"/>
      <c r="P374" s="3"/>
    </row>
    <row r="375" spans="1:16">
      <c r="A375" s="2" t="s">
        <v>584</v>
      </c>
      <c r="B375" s="2" t="s">
        <v>592</v>
      </c>
      <c r="C375" s="2" t="s">
        <v>593</v>
      </c>
      <c r="D375" s="2">
        <v>191</v>
      </c>
      <c r="E375" s="2">
        <v>160</v>
      </c>
      <c r="F375" s="2"/>
      <c r="G375" s="2">
        <v>193</v>
      </c>
      <c r="H375" s="2">
        <v>181</v>
      </c>
      <c r="I375" s="2">
        <v>158</v>
      </c>
      <c r="J375" s="3">
        <f t="shared" si="6"/>
        <v>883</v>
      </c>
      <c r="L375" s="2" t="s">
        <v>8</v>
      </c>
      <c r="M375" s="3">
        <f>SUM(I370:I377)</f>
        <v>938</v>
      </c>
      <c r="O375" s="4"/>
      <c r="P375" s="3"/>
    </row>
    <row r="376" spans="1:16">
      <c r="A376" s="2" t="s">
        <v>584</v>
      </c>
      <c r="B376" s="2"/>
      <c r="C376" s="2"/>
      <c r="D376" s="2"/>
      <c r="E376" s="2"/>
      <c r="F376" s="2"/>
      <c r="G376" s="2"/>
      <c r="H376" s="2"/>
      <c r="I376" s="2"/>
      <c r="J376" s="3">
        <f t="shared" si="6"/>
        <v>0</v>
      </c>
      <c r="L376" s="3"/>
      <c r="M376" s="3"/>
      <c r="O376" s="4"/>
      <c r="P376" s="3"/>
    </row>
    <row r="377" spans="1:16">
      <c r="A377" s="2" t="s">
        <v>584</v>
      </c>
      <c r="B377" s="2"/>
      <c r="C377" s="2"/>
      <c r="D377" s="2"/>
      <c r="E377" s="2"/>
      <c r="F377" s="2"/>
      <c r="G377" s="2"/>
      <c r="H377" s="2"/>
      <c r="I377" s="2"/>
      <c r="J377" s="3">
        <f t="shared" si="6"/>
        <v>0</v>
      </c>
      <c r="L377" s="2"/>
      <c r="M377" s="3"/>
      <c r="O377" s="4"/>
      <c r="P377" s="3"/>
    </row>
    <row r="378" spans="1:16">
      <c r="A378" s="6" t="s">
        <v>594</v>
      </c>
      <c r="B378" s="6" t="s">
        <v>595</v>
      </c>
      <c r="C378" s="6" t="s">
        <v>596</v>
      </c>
      <c r="D378" s="6"/>
      <c r="E378" s="6"/>
      <c r="F378" s="6">
        <v>194</v>
      </c>
      <c r="G378" s="6">
        <v>177</v>
      </c>
      <c r="H378" s="6">
        <v>157</v>
      </c>
      <c r="I378" s="6">
        <v>211</v>
      </c>
      <c r="J378" s="3">
        <f t="shared" si="6"/>
        <v>739</v>
      </c>
      <c r="L378" s="6" t="s">
        <v>3</v>
      </c>
      <c r="M378" s="7">
        <f>SUM(D378:D385)</f>
        <v>989</v>
      </c>
      <c r="O378" s="8" t="str">
        <f>A378</f>
        <v>Nebraska - Lincoln</v>
      </c>
      <c r="P378" s="7">
        <f>SUM(M378:M383)</f>
        <v>5806</v>
      </c>
    </row>
    <row r="379" spans="1:16">
      <c r="A379" s="6" t="s">
        <v>594</v>
      </c>
      <c r="B379" s="6" t="s">
        <v>567</v>
      </c>
      <c r="C379" s="6" t="s">
        <v>597</v>
      </c>
      <c r="D379" s="6">
        <v>167</v>
      </c>
      <c r="E379" s="6">
        <v>151</v>
      </c>
      <c r="F379" s="6">
        <v>192</v>
      </c>
      <c r="G379" s="6">
        <v>195</v>
      </c>
      <c r="H379" s="6">
        <v>171</v>
      </c>
      <c r="I379" s="6">
        <v>169</v>
      </c>
      <c r="J379" s="3">
        <f t="shared" si="6"/>
        <v>1045</v>
      </c>
      <c r="L379" s="6" t="s">
        <v>4</v>
      </c>
      <c r="M379" s="7">
        <f>SUM(E378:E385)</f>
        <v>831</v>
      </c>
      <c r="O379" s="8"/>
      <c r="P379" s="7"/>
    </row>
    <row r="380" spans="1:16">
      <c r="A380" s="6" t="s">
        <v>594</v>
      </c>
      <c r="B380" s="6" t="s">
        <v>598</v>
      </c>
      <c r="C380" s="6" t="s">
        <v>599</v>
      </c>
      <c r="D380" s="6">
        <v>222</v>
      </c>
      <c r="E380" s="6">
        <v>200</v>
      </c>
      <c r="F380" s="6">
        <v>150</v>
      </c>
      <c r="G380" s="6">
        <v>222</v>
      </c>
      <c r="H380" s="6">
        <v>226</v>
      </c>
      <c r="I380" s="6">
        <v>191</v>
      </c>
      <c r="J380" s="3">
        <f t="shared" si="6"/>
        <v>1211</v>
      </c>
      <c r="L380" s="6" t="s">
        <v>5</v>
      </c>
      <c r="M380" s="7">
        <f>SUM(F378:F385)</f>
        <v>918</v>
      </c>
      <c r="O380" s="8"/>
      <c r="P380" s="7"/>
    </row>
    <row r="381" spans="1:16">
      <c r="A381" s="6" t="s">
        <v>594</v>
      </c>
      <c r="B381" s="6" t="s">
        <v>600</v>
      </c>
      <c r="C381" s="6" t="s">
        <v>601</v>
      </c>
      <c r="D381" s="6"/>
      <c r="E381" s="6"/>
      <c r="F381" s="6"/>
      <c r="G381" s="6"/>
      <c r="H381" s="6"/>
      <c r="I381" s="6"/>
      <c r="J381" s="3">
        <f t="shared" si="6"/>
        <v>0</v>
      </c>
      <c r="L381" s="6" t="s">
        <v>6</v>
      </c>
      <c r="M381" s="7">
        <f>SUM(G378:G385)</f>
        <v>987</v>
      </c>
      <c r="O381" s="8"/>
      <c r="P381" s="7"/>
    </row>
    <row r="382" spans="1:16">
      <c r="A382" s="6" t="s">
        <v>594</v>
      </c>
      <c r="B382" s="6" t="s">
        <v>424</v>
      </c>
      <c r="C382" s="6" t="s">
        <v>602</v>
      </c>
      <c r="D382" s="6">
        <v>225</v>
      </c>
      <c r="E382" s="6">
        <v>169</v>
      </c>
      <c r="F382" s="6">
        <v>157</v>
      </c>
      <c r="G382" s="6">
        <v>215</v>
      </c>
      <c r="H382" s="6">
        <v>300</v>
      </c>
      <c r="I382" s="6">
        <v>223</v>
      </c>
      <c r="J382" s="3">
        <f t="shared" si="6"/>
        <v>1289</v>
      </c>
      <c r="L382" s="6" t="s">
        <v>7</v>
      </c>
      <c r="M382" s="7">
        <f>SUM(H378:H385)</f>
        <v>1071</v>
      </c>
      <c r="O382" s="8"/>
      <c r="P382" s="7"/>
    </row>
    <row r="383" spans="1:16">
      <c r="A383" s="6" t="s">
        <v>594</v>
      </c>
      <c r="B383" s="6"/>
      <c r="C383" s="6"/>
      <c r="D383" s="6"/>
      <c r="E383" s="6"/>
      <c r="F383" s="6"/>
      <c r="G383" s="6"/>
      <c r="H383" s="6"/>
      <c r="I383" s="6"/>
      <c r="J383" s="3">
        <f t="shared" si="6"/>
        <v>0</v>
      </c>
      <c r="L383" s="6" t="s">
        <v>8</v>
      </c>
      <c r="M383" s="7">
        <f>SUM(I378:I385)</f>
        <v>1010</v>
      </c>
      <c r="O383" s="8"/>
      <c r="P383" s="7"/>
    </row>
    <row r="384" spans="1:16">
      <c r="A384" s="6" t="s">
        <v>594</v>
      </c>
      <c r="B384" s="6" t="s">
        <v>603</v>
      </c>
      <c r="C384" s="6" t="s">
        <v>604</v>
      </c>
      <c r="D384" s="6">
        <v>181</v>
      </c>
      <c r="E384" s="6">
        <v>166</v>
      </c>
      <c r="F384" s="6">
        <v>225</v>
      </c>
      <c r="G384" s="6">
        <v>178</v>
      </c>
      <c r="H384" s="6">
        <v>217</v>
      </c>
      <c r="I384" s="6">
        <v>216</v>
      </c>
      <c r="J384" s="3">
        <f t="shared" si="6"/>
        <v>1183</v>
      </c>
      <c r="L384" s="6"/>
      <c r="M384" s="7"/>
      <c r="O384" s="8"/>
      <c r="P384" s="7"/>
    </row>
    <row r="385" spans="1:16">
      <c r="A385" s="6" t="s">
        <v>594</v>
      </c>
      <c r="B385" s="6" t="s">
        <v>605</v>
      </c>
      <c r="C385" s="6" t="s">
        <v>606</v>
      </c>
      <c r="D385" s="6">
        <v>194</v>
      </c>
      <c r="E385" s="6">
        <v>145</v>
      </c>
      <c r="F385" s="6"/>
      <c r="G385" s="6"/>
      <c r="H385" s="6"/>
      <c r="I385" s="6"/>
      <c r="J385" s="3">
        <f t="shared" si="6"/>
        <v>339</v>
      </c>
      <c r="L385" s="6"/>
      <c r="M385" s="7"/>
      <c r="O385" s="8"/>
      <c r="P385" s="7"/>
    </row>
    <row r="386" spans="1:16">
      <c r="A386" s="2" t="s">
        <v>607</v>
      </c>
      <c r="B386" s="2" t="s">
        <v>99</v>
      </c>
      <c r="C386" s="2" t="s">
        <v>608</v>
      </c>
      <c r="D386" s="2"/>
      <c r="E386" s="2"/>
      <c r="F386" s="2"/>
      <c r="G386" s="2"/>
      <c r="H386" s="2"/>
      <c r="I386" s="2"/>
      <c r="J386" s="3">
        <f t="shared" si="6"/>
        <v>0</v>
      </c>
      <c r="L386" s="2" t="s">
        <v>3</v>
      </c>
      <c r="M386" s="3">
        <f>SUM(D386:D393)</f>
        <v>931</v>
      </c>
      <c r="O386" s="4" t="str">
        <f>A386</f>
        <v>Lincoln Memorial</v>
      </c>
      <c r="P386" s="3">
        <f>SUM(M386:M391)</f>
        <v>5573</v>
      </c>
    </row>
    <row r="387" spans="1:16">
      <c r="A387" s="2" t="s">
        <v>607</v>
      </c>
      <c r="B387" s="2" t="s">
        <v>170</v>
      </c>
      <c r="C387" s="2" t="s">
        <v>609</v>
      </c>
      <c r="D387" s="2">
        <v>209</v>
      </c>
      <c r="E387" s="2">
        <v>225</v>
      </c>
      <c r="F387" s="2">
        <v>197</v>
      </c>
      <c r="G387" s="2">
        <v>225</v>
      </c>
      <c r="H387" s="2">
        <v>197</v>
      </c>
      <c r="I387" s="2">
        <v>161</v>
      </c>
      <c r="J387" s="3">
        <f t="shared" si="6"/>
        <v>1214</v>
      </c>
      <c r="L387" s="2" t="s">
        <v>4</v>
      </c>
      <c r="M387" s="3">
        <f>SUM(E386:E393)</f>
        <v>896</v>
      </c>
      <c r="O387" s="4"/>
      <c r="P387" s="3"/>
    </row>
    <row r="388" spans="1:16">
      <c r="A388" s="2" t="s">
        <v>607</v>
      </c>
      <c r="B388" s="2" t="s">
        <v>610</v>
      </c>
      <c r="C388" s="2" t="s">
        <v>611</v>
      </c>
      <c r="D388" s="2"/>
      <c r="E388" s="2"/>
      <c r="F388" s="2"/>
      <c r="G388" s="2"/>
      <c r="H388" s="2"/>
      <c r="I388" s="2"/>
      <c r="J388" s="3">
        <f t="shared" si="6"/>
        <v>0</v>
      </c>
      <c r="L388" s="2" t="s">
        <v>5</v>
      </c>
      <c r="M388" s="3">
        <f>SUM(F386:F393)</f>
        <v>977</v>
      </c>
      <c r="O388" s="4"/>
      <c r="P388" s="3"/>
    </row>
    <row r="389" spans="1:16">
      <c r="A389" s="2" t="s">
        <v>607</v>
      </c>
      <c r="B389" s="2" t="s">
        <v>283</v>
      </c>
      <c r="C389" s="2" t="s">
        <v>612</v>
      </c>
      <c r="D389" s="2">
        <v>149</v>
      </c>
      <c r="E389" s="2">
        <v>160</v>
      </c>
      <c r="F389" s="2">
        <v>151</v>
      </c>
      <c r="G389" s="2">
        <v>203</v>
      </c>
      <c r="H389" s="2">
        <v>143</v>
      </c>
      <c r="I389" s="2">
        <v>194</v>
      </c>
      <c r="J389" s="3">
        <f t="shared" si="6"/>
        <v>1000</v>
      </c>
      <c r="L389" s="2" t="s">
        <v>6</v>
      </c>
      <c r="M389" s="3">
        <f>SUM(G386:G393)</f>
        <v>934</v>
      </c>
      <c r="O389" s="4"/>
      <c r="P389" s="3"/>
    </row>
    <row r="390" spans="1:16">
      <c r="A390" s="2" t="s">
        <v>607</v>
      </c>
      <c r="B390" s="2" t="s">
        <v>385</v>
      </c>
      <c r="C390" s="2" t="s">
        <v>613</v>
      </c>
      <c r="D390" s="2">
        <v>190</v>
      </c>
      <c r="E390" s="2">
        <v>167</v>
      </c>
      <c r="F390" s="2">
        <v>192</v>
      </c>
      <c r="G390" s="2">
        <v>193</v>
      </c>
      <c r="H390" s="2">
        <v>236</v>
      </c>
      <c r="I390" s="2">
        <v>171</v>
      </c>
      <c r="J390" s="3">
        <f t="shared" si="6"/>
        <v>1149</v>
      </c>
      <c r="L390" s="2" t="s">
        <v>7</v>
      </c>
      <c r="M390" s="3">
        <f>SUM(H386:H393)</f>
        <v>940</v>
      </c>
      <c r="O390" s="4"/>
      <c r="P390" s="3"/>
    </row>
    <row r="391" spans="1:16">
      <c r="A391" s="2" t="s">
        <v>607</v>
      </c>
      <c r="B391" s="2" t="s">
        <v>614</v>
      </c>
      <c r="C391" s="2" t="s">
        <v>238</v>
      </c>
      <c r="D391" s="2">
        <v>207</v>
      </c>
      <c r="E391" s="2">
        <v>169</v>
      </c>
      <c r="F391" s="2">
        <v>202</v>
      </c>
      <c r="G391" s="2">
        <v>130</v>
      </c>
      <c r="H391" s="2">
        <v>195</v>
      </c>
      <c r="I391" s="2">
        <v>170</v>
      </c>
      <c r="J391" s="3">
        <f t="shared" si="6"/>
        <v>1073</v>
      </c>
      <c r="L391" s="2" t="s">
        <v>8</v>
      </c>
      <c r="M391" s="3">
        <f>SUM(I386:I393)</f>
        <v>895</v>
      </c>
      <c r="O391" s="4"/>
      <c r="P391" s="3"/>
    </row>
    <row r="392" spans="1:16">
      <c r="A392" s="2" t="s">
        <v>607</v>
      </c>
      <c r="B392" s="2" t="s">
        <v>615</v>
      </c>
      <c r="C392" s="2" t="s">
        <v>616</v>
      </c>
      <c r="D392" s="2">
        <v>176</v>
      </c>
      <c r="E392" s="2">
        <v>175</v>
      </c>
      <c r="F392" s="2">
        <v>235</v>
      </c>
      <c r="G392" s="2">
        <v>183</v>
      </c>
      <c r="H392" s="2">
        <v>169</v>
      </c>
      <c r="I392" s="2">
        <v>199</v>
      </c>
      <c r="J392" s="3">
        <f t="shared" si="6"/>
        <v>1137</v>
      </c>
      <c r="L392" s="3"/>
      <c r="M392" s="3"/>
      <c r="O392" s="4"/>
      <c r="P392" s="3"/>
    </row>
    <row r="393" spans="1:16">
      <c r="A393" s="2" t="s">
        <v>607</v>
      </c>
      <c r="B393" s="2"/>
      <c r="C393" s="2"/>
      <c r="D393" s="2"/>
      <c r="E393" s="2"/>
      <c r="F393" s="2"/>
      <c r="G393" s="2"/>
      <c r="H393" s="2"/>
      <c r="I393" s="2"/>
      <c r="J393" s="3">
        <f t="shared" si="6"/>
        <v>0</v>
      </c>
      <c r="L393" s="2"/>
      <c r="M393" s="3"/>
      <c r="O393" s="4"/>
      <c r="P393" s="3"/>
    </row>
    <row r="394" spans="1:16">
      <c r="A394" s="6" t="s">
        <v>617</v>
      </c>
      <c r="B394" s="6" t="s">
        <v>326</v>
      </c>
      <c r="C394" s="6" t="s">
        <v>618</v>
      </c>
      <c r="D394" s="6"/>
      <c r="E394" s="6"/>
      <c r="F394" s="6"/>
      <c r="G394" s="6"/>
      <c r="H394" s="6">
        <v>235</v>
      </c>
      <c r="I394" s="6">
        <v>202</v>
      </c>
      <c r="J394" s="3">
        <f t="shared" si="6"/>
        <v>437</v>
      </c>
      <c r="L394" s="6" t="s">
        <v>3</v>
      </c>
      <c r="M394" s="7">
        <f>SUM(D394:D401)</f>
        <v>1008</v>
      </c>
      <c r="O394" s="8" t="str">
        <f>A394</f>
        <v>Wisconsin - Whitewater</v>
      </c>
      <c r="P394" s="7">
        <f>SUM(M394:M399)</f>
        <v>6132</v>
      </c>
    </row>
    <row r="395" spans="1:16">
      <c r="A395" s="6" t="s">
        <v>617</v>
      </c>
      <c r="B395" s="6" t="s">
        <v>569</v>
      </c>
      <c r="C395" s="6" t="s">
        <v>619</v>
      </c>
      <c r="D395" s="6">
        <v>235</v>
      </c>
      <c r="E395" s="6">
        <v>155</v>
      </c>
      <c r="F395" s="6">
        <v>238</v>
      </c>
      <c r="G395" s="6">
        <v>218</v>
      </c>
      <c r="H395" s="6">
        <v>205</v>
      </c>
      <c r="I395" s="6">
        <v>207</v>
      </c>
      <c r="J395" s="3">
        <f t="shared" si="6"/>
        <v>1258</v>
      </c>
      <c r="L395" s="6" t="s">
        <v>4</v>
      </c>
      <c r="M395" s="7">
        <f>SUM(E394:E401)</f>
        <v>894</v>
      </c>
      <c r="O395" s="8"/>
      <c r="P395" s="7"/>
    </row>
    <row r="396" spans="1:16">
      <c r="A396" s="6" t="s">
        <v>617</v>
      </c>
      <c r="B396" s="6" t="s">
        <v>77</v>
      </c>
      <c r="C396" s="6" t="s">
        <v>620</v>
      </c>
      <c r="D396" s="6">
        <v>170</v>
      </c>
      <c r="E396" s="6">
        <v>177</v>
      </c>
      <c r="F396" s="6">
        <v>232</v>
      </c>
      <c r="G396" s="6">
        <v>233</v>
      </c>
      <c r="H396" s="6">
        <v>192</v>
      </c>
      <c r="I396" s="6">
        <v>298</v>
      </c>
      <c r="J396" s="3">
        <f t="shared" si="6"/>
        <v>1302</v>
      </c>
      <c r="L396" s="6" t="s">
        <v>5</v>
      </c>
      <c r="M396" s="7">
        <f>SUM(F394:F401)</f>
        <v>1092</v>
      </c>
      <c r="O396" s="8"/>
      <c r="P396" s="7"/>
    </row>
    <row r="397" spans="1:16">
      <c r="A397" s="6" t="s">
        <v>617</v>
      </c>
      <c r="B397" s="6" t="s">
        <v>250</v>
      </c>
      <c r="C397" s="6" t="s">
        <v>621</v>
      </c>
      <c r="D397" s="6"/>
      <c r="E397" s="6"/>
      <c r="F397" s="6"/>
      <c r="G397" s="6"/>
      <c r="H397" s="6"/>
      <c r="I397" s="6"/>
      <c r="J397" s="3">
        <f t="shared" si="6"/>
        <v>0</v>
      </c>
      <c r="L397" s="6" t="s">
        <v>6</v>
      </c>
      <c r="M397" s="7">
        <f>SUM(G394:G401)</f>
        <v>1044</v>
      </c>
      <c r="O397" s="8"/>
      <c r="P397" s="7"/>
    </row>
    <row r="398" spans="1:16">
      <c r="A398" s="6" t="s">
        <v>617</v>
      </c>
      <c r="B398" s="6" t="s">
        <v>496</v>
      </c>
      <c r="C398" s="6" t="s">
        <v>622</v>
      </c>
      <c r="D398" s="6"/>
      <c r="E398" s="6"/>
      <c r="F398" s="6"/>
      <c r="G398" s="6"/>
      <c r="H398" s="6"/>
      <c r="I398" s="6"/>
      <c r="J398" s="3">
        <f t="shared" si="6"/>
        <v>0</v>
      </c>
      <c r="L398" s="6" t="s">
        <v>7</v>
      </c>
      <c r="M398" s="7">
        <f>SUM(H394:H401)</f>
        <v>999</v>
      </c>
      <c r="O398" s="8"/>
      <c r="P398" s="7"/>
    </row>
    <row r="399" spans="1:16">
      <c r="A399" s="6" t="s">
        <v>617</v>
      </c>
      <c r="B399" s="6" t="s">
        <v>266</v>
      </c>
      <c r="C399" s="6" t="s">
        <v>623</v>
      </c>
      <c r="D399" s="6">
        <v>171</v>
      </c>
      <c r="E399" s="6">
        <v>178</v>
      </c>
      <c r="F399" s="6">
        <v>202</v>
      </c>
      <c r="G399" s="6">
        <v>170</v>
      </c>
      <c r="H399" s="6"/>
      <c r="I399" s="6"/>
      <c r="J399" s="3">
        <f t="shared" si="6"/>
        <v>721</v>
      </c>
      <c r="L399" s="6" t="s">
        <v>8</v>
      </c>
      <c r="M399" s="7">
        <f>SUM(I394:I401)</f>
        <v>1095</v>
      </c>
      <c r="O399" s="8"/>
      <c r="P399" s="7"/>
    </row>
    <row r="400" spans="1:16">
      <c r="A400" s="6" t="s">
        <v>617</v>
      </c>
      <c r="B400" s="6" t="s">
        <v>92</v>
      </c>
      <c r="C400" s="6" t="s">
        <v>624</v>
      </c>
      <c r="D400" s="6">
        <v>247</v>
      </c>
      <c r="E400" s="6">
        <v>202</v>
      </c>
      <c r="F400" s="6">
        <v>186</v>
      </c>
      <c r="G400" s="6">
        <v>209</v>
      </c>
      <c r="H400" s="6">
        <v>189</v>
      </c>
      <c r="I400" s="6">
        <v>168</v>
      </c>
      <c r="J400" s="3">
        <f t="shared" si="6"/>
        <v>1201</v>
      </c>
      <c r="L400" s="6"/>
      <c r="M400" s="7"/>
      <c r="O400" s="8"/>
      <c r="P400" s="7"/>
    </row>
    <row r="401" spans="1:16">
      <c r="A401" s="6" t="s">
        <v>617</v>
      </c>
      <c r="B401" s="6" t="s">
        <v>111</v>
      </c>
      <c r="C401" s="6" t="s">
        <v>625</v>
      </c>
      <c r="D401" s="6">
        <v>185</v>
      </c>
      <c r="E401" s="6">
        <v>182</v>
      </c>
      <c r="F401" s="6">
        <v>234</v>
      </c>
      <c r="G401" s="6">
        <v>214</v>
      </c>
      <c r="H401" s="6">
        <v>178</v>
      </c>
      <c r="I401" s="6">
        <v>220</v>
      </c>
      <c r="J401" s="3">
        <f t="shared" si="6"/>
        <v>1213</v>
      </c>
      <c r="L401" s="6"/>
      <c r="M401" s="7"/>
      <c r="O401" s="8"/>
      <c r="P401" s="7"/>
    </row>
    <row r="402" spans="1:16">
      <c r="A402" s="2" t="s">
        <v>626</v>
      </c>
      <c r="B402" s="2" t="s">
        <v>627</v>
      </c>
      <c r="C402" s="2" t="s">
        <v>628</v>
      </c>
      <c r="D402" s="2">
        <v>154</v>
      </c>
      <c r="E402" s="2">
        <v>236</v>
      </c>
      <c r="F402" s="2">
        <v>159</v>
      </c>
      <c r="G402" s="2">
        <v>196</v>
      </c>
      <c r="H402" s="2">
        <v>150</v>
      </c>
      <c r="I402" s="2">
        <v>255</v>
      </c>
      <c r="J402" s="3">
        <f t="shared" si="6"/>
        <v>1150</v>
      </c>
      <c r="L402" s="2" t="s">
        <v>3</v>
      </c>
      <c r="M402" s="3">
        <f>SUM(D402:D409)</f>
        <v>897</v>
      </c>
      <c r="O402" s="4" t="str">
        <f>A402</f>
        <v>Grand View</v>
      </c>
      <c r="P402" s="3">
        <f>SUM(M402:M407)</f>
        <v>5825</v>
      </c>
    </row>
    <row r="403" spans="1:16">
      <c r="A403" s="2" t="s">
        <v>626</v>
      </c>
      <c r="B403" s="2" t="s">
        <v>629</v>
      </c>
      <c r="C403" s="2" t="s">
        <v>630</v>
      </c>
      <c r="D403" s="2"/>
      <c r="E403" s="2"/>
      <c r="F403" s="2"/>
      <c r="G403" s="2"/>
      <c r="H403" s="2"/>
      <c r="I403" s="2"/>
      <c r="J403" s="3">
        <f t="shared" ref="J403:J417" si="7">SUM(D403:I403)</f>
        <v>0</v>
      </c>
      <c r="L403" s="2" t="s">
        <v>4</v>
      </c>
      <c r="M403" s="3">
        <f>SUM(E402:E409)</f>
        <v>1027</v>
      </c>
      <c r="O403" s="4"/>
      <c r="P403" s="3"/>
    </row>
    <row r="404" spans="1:16">
      <c r="A404" s="2" t="s">
        <v>626</v>
      </c>
      <c r="B404" s="2" t="s">
        <v>245</v>
      </c>
      <c r="C404" s="2" t="s">
        <v>631</v>
      </c>
      <c r="D404" s="2">
        <v>132</v>
      </c>
      <c r="E404" s="2">
        <v>204</v>
      </c>
      <c r="F404" s="2">
        <v>202</v>
      </c>
      <c r="G404" s="2">
        <v>191</v>
      </c>
      <c r="H404" s="2">
        <v>229</v>
      </c>
      <c r="I404" s="2">
        <v>236</v>
      </c>
      <c r="J404" s="3">
        <f t="shared" si="7"/>
        <v>1194</v>
      </c>
      <c r="L404" s="2" t="s">
        <v>5</v>
      </c>
      <c r="M404" s="3">
        <f>SUM(F402:F409)</f>
        <v>840</v>
      </c>
      <c r="O404" s="4"/>
      <c r="P404" s="3"/>
    </row>
    <row r="405" spans="1:16">
      <c r="A405" s="2" t="s">
        <v>626</v>
      </c>
      <c r="B405" s="2" t="s">
        <v>245</v>
      </c>
      <c r="C405" s="2" t="s">
        <v>632</v>
      </c>
      <c r="D405" s="2"/>
      <c r="E405" s="2"/>
      <c r="F405" s="2"/>
      <c r="G405" s="2"/>
      <c r="H405" s="2"/>
      <c r="I405" s="2"/>
      <c r="J405" s="3">
        <f t="shared" si="7"/>
        <v>0</v>
      </c>
      <c r="L405" s="2" t="s">
        <v>6</v>
      </c>
      <c r="M405" s="3">
        <f>SUM(G402:G409)</f>
        <v>1020</v>
      </c>
      <c r="O405" s="4"/>
      <c r="P405" s="3"/>
    </row>
    <row r="406" spans="1:16">
      <c r="A406" s="2" t="s">
        <v>626</v>
      </c>
      <c r="B406" s="2" t="s">
        <v>473</v>
      </c>
      <c r="C406" s="2" t="s">
        <v>633</v>
      </c>
      <c r="D406" s="2">
        <v>257</v>
      </c>
      <c r="E406" s="2">
        <v>190</v>
      </c>
      <c r="F406" s="2">
        <v>177</v>
      </c>
      <c r="G406" s="2">
        <v>247</v>
      </c>
      <c r="H406" s="2">
        <v>194</v>
      </c>
      <c r="I406" s="2">
        <v>161</v>
      </c>
      <c r="J406" s="3">
        <f t="shared" si="7"/>
        <v>1226</v>
      </c>
      <c r="L406" s="2" t="s">
        <v>7</v>
      </c>
      <c r="M406" s="3">
        <f>SUM(H402:H409)</f>
        <v>937</v>
      </c>
      <c r="O406" s="4"/>
      <c r="P406" s="3"/>
    </row>
    <row r="407" spans="1:16">
      <c r="A407" s="2" t="s">
        <v>626</v>
      </c>
      <c r="B407" s="2" t="s">
        <v>92</v>
      </c>
      <c r="C407" s="2" t="s">
        <v>634</v>
      </c>
      <c r="D407" s="2">
        <v>191</v>
      </c>
      <c r="E407" s="2">
        <v>198</v>
      </c>
      <c r="F407" s="2">
        <v>163</v>
      </c>
      <c r="G407" s="2">
        <v>193</v>
      </c>
      <c r="H407" s="2">
        <v>193</v>
      </c>
      <c r="I407" s="2">
        <v>242</v>
      </c>
      <c r="J407" s="3">
        <f t="shared" si="7"/>
        <v>1180</v>
      </c>
      <c r="L407" s="2" t="s">
        <v>8</v>
      </c>
      <c r="M407" s="3">
        <f>SUM(I402:I409)</f>
        <v>1104</v>
      </c>
      <c r="O407" s="4"/>
      <c r="P407" s="3"/>
    </row>
    <row r="408" spans="1:16">
      <c r="A408" s="2" t="s">
        <v>626</v>
      </c>
      <c r="B408" s="2" t="s">
        <v>450</v>
      </c>
      <c r="C408" s="2" t="s">
        <v>635</v>
      </c>
      <c r="D408" s="2">
        <v>163</v>
      </c>
      <c r="E408" s="2">
        <v>199</v>
      </c>
      <c r="F408" s="2">
        <v>139</v>
      </c>
      <c r="G408" s="2">
        <v>193</v>
      </c>
      <c r="H408" s="2">
        <v>171</v>
      </c>
      <c r="I408" s="2">
        <v>210</v>
      </c>
      <c r="J408" s="3">
        <f t="shared" si="7"/>
        <v>1075</v>
      </c>
      <c r="L408" s="3"/>
      <c r="M408" s="3"/>
      <c r="O408" s="4"/>
      <c r="P408" s="3"/>
    </row>
    <row r="409" spans="1:16">
      <c r="A409" s="2" t="s">
        <v>626</v>
      </c>
      <c r="B409" s="2"/>
      <c r="C409" s="2"/>
      <c r="D409" s="2"/>
      <c r="E409" s="2"/>
      <c r="F409" s="2"/>
      <c r="G409" s="2"/>
      <c r="H409" s="2"/>
      <c r="I409" s="2"/>
      <c r="J409" s="3">
        <f t="shared" si="7"/>
        <v>0</v>
      </c>
      <c r="L409" s="2"/>
      <c r="M409" s="3"/>
      <c r="O409" s="4"/>
      <c r="P409" s="3"/>
    </row>
    <row r="410" spans="1:16">
      <c r="A410" s="6" t="s">
        <v>636</v>
      </c>
      <c r="B410" s="6" t="s">
        <v>49</v>
      </c>
      <c r="C410" s="6" t="s">
        <v>637</v>
      </c>
      <c r="D410" s="6">
        <v>217</v>
      </c>
      <c r="E410" s="6">
        <v>223</v>
      </c>
      <c r="F410" s="6">
        <v>202</v>
      </c>
      <c r="G410" s="6">
        <v>204</v>
      </c>
      <c r="H410" s="6">
        <v>157</v>
      </c>
      <c r="I410" s="6">
        <v>193</v>
      </c>
      <c r="J410" s="3">
        <f t="shared" si="7"/>
        <v>1196</v>
      </c>
      <c r="L410" s="6" t="s">
        <v>3</v>
      </c>
      <c r="M410" s="7">
        <f>SUM(D410:D417)</f>
        <v>874</v>
      </c>
      <c r="O410" s="8" t="str">
        <f>A410</f>
        <v>South Florida</v>
      </c>
      <c r="P410" s="7">
        <f>SUM(M410:M415)</f>
        <v>5701</v>
      </c>
    </row>
    <row r="411" spans="1:16">
      <c r="A411" s="6" t="s">
        <v>636</v>
      </c>
      <c r="B411" s="6" t="s">
        <v>210</v>
      </c>
      <c r="C411" s="6" t="s">
        <v>638</v>
      </c>
      <c r="D411" s="6">
        <v>164</v>
      </c>
      <c r="E411" s="6">
        <v>229</v>
      </c>
      <c r="F411" s="6">
        <v>200</v>
      </c>
      <c r="G411" s="6">
        <v>210</v>
      </c>
      <c r="H411" s="6">
        <v>192</v>
      </c>
      <c r="I411" s="6">
        <v>257</v>
      </c>
      <c r="J411" s="3">
        <f t="shared" si="7"/>
        <v>1252</v>
      </c>
      <c r="L411" s="6" t="s">
        <v>4</v>
      </c>
      <c r="M411" s="7">
        <f>SUM(E410:E417)</f>
        <v>936</v>
      </c>
      <c r="O411" s="8"/>
      <c r="P411" s="7"/>
    </row>
    <row r="412" spans="1:16">
      <c r="A412" s="6" t="s">
        <v>636</v>
      </c>
      <c r="B412" s="6" t="s">
        <v>385</v>
      </c>
      <c r="C412" s="6" t="s">
        <v>639</v>
      </c>
      <c r="D412" s="6">
        <v>176</v>
      </c>
      <c r="E412" s="6">
        <v>163</v>
      </c>
      <c r="F412" s="6">
        <v>203</v>
      </c>
      <c r="G412" s="6">
        <v>194</v>
      </c>
      <c r="H412" s="6">
        <v>192</v>
      </c>
      <c r="I412" s="6">
        <v>225</v>
      </c>
      <c r="J412" s="3">
        <f t="shared" si="7"/>
        <v>1153</v>
      </c>
      <c r="L412" s="6" t="s">
        <v>5</v>
      </c>
      <c r="M412" s="7">
        <f>SUM(F410:F417)</f>
        <v>964</v>
      </c>
      <c r="O412" s="8"/>
      <c r="P412" s="7"/>
    </row>
    <row r="413" spans="1:16">
      <c r="A413" s="6" t="s">
        <v>636</v>
      </c>
      <c r="B413" s="6" t="s">
        <v>32</v>
      </c>
      <c r="C413" s="6" t="s">
        <v>640</v>
      </c>
      <c r="D413" s="6">
        <v>152</v>
      </c>
      <c r="E413" s="6"/>
      <c r="F413" s="6">
        <v>172</v>
      </c>
      <c r="G413" s="6">
        <v>190</v>
      </c>
      <c r="H413" s="6">
        <v>191</v>
      </c>
      <c r="I413" s="6">
        <v>213</v>
      </c>
      <c r="J413" s="3">
        <f t="shared" si="7"/>
        <v>918</v>
      </c>
      <c r="L413" s="6" t="s">
        <v>6</v>
      </c>
      <c r="M413" s="7">
        <f>SUM(G410:G417)</f>
        <v>944</v>
      </c>
      <c r="O413" s="8"/>
      <c r="P413" s="7"/>
    </row>
    <row r="414" spans="1:16">
      <c r="A414" s="6" t="s">
        <v>636</v>
      </c>
      <c r="B414" s="6" t="s">
        <v>473</v>
      </c>
      <c r="C414" s="6" t="s">
        <v>641</v>
      </c>
      <c r="D414" s="6"/>
      <c r="E414" s="6">
        <v>156</v>
      </c>
      <c r="F414" s="6"/>
      <c r="G414" s="6"/>
      <c r="H414" s="6"/>
      <c r="I414" s="6"/>
      <c r="J414" s="3">
        <f t="shared" si="7"/>
        <v>156</v>
      </c>
      <c r="L414" s="6" t="s">
        <v>7</v>
      </c>
      <c r="M414" s="7">
        <f>SUM(H410:H417)</f>
        <v>908</v>
      </c>
      <c r="O414" s="8"/>
      <c r="P414" s="7"/>
    </row>
    <row r="415" spans="1:16">
      <c r="A415" s="6" t="s">
        <v>636</v>
      </c>
      <c r="B415" s="6" t="s">
        <v>92</v>
      </c>
      <c r="C415" s="6" t="s">
        <v>642</v>
      </c>
      <c r="D415" s="6">
        <v>165</v>
      </c>
      <c r="E415" s="6">
        <v>165</v>
      </c>
      <c r="F415" s="6">
        <v>187</v>
      </c>
      <c r="G415" s="6">
        <v>146</v>
      </c>
      <c r="H415" s="6">
        <v>176</v>
      </c>
      <c r="I415" s="6">
        <v>187</v>
      </c>
      <c r="J415" s="3">
        <f t="shared" si="7"/>
        <v>1026</v>
      </c>
      <c r="L415" s="6" t="s">
        <v>8</v>
      </c>
      <c r="M415" s="7">
        <f>SUM(I410:I417)</f>
        <v>1075</v>
      </c>
      <c r="O415" s="8"/>
      <c r="P415" s="7"/>
    </row>
    <row r="416" spans="1:16">
      <c r="A416" s="6" t="s">
        <v>636</v>
      </c>
      <c r="B416" s="6"/>
      <c r="C416" s="6"/>
      <c r="D416" s="6"/>
      <c r="E416" s="6"/>
      <c r="F416" s="6"/>
      <c r="G416" s="6"/>
      <c r="H416" s="6"/>
      <c r="I416" s="6"/>
      <c r="J416" s="3">
        <f t="shared" si="7"/>
        <v>0</v>
      </c>
      <c r="L416" s="6"/>
      <c r="M416" s="7"/>
      <c r="O416" s="8"/>
      <c r="P416" s="7"/>
    </row>
    <row r="417" spans="1:16">
      <c r="A417" s="6" t="s">
        <v>636</v>
      </c>
      <c r="B417" s="6"/>
      <c r="C417" s="6"/>
      <c r="D417" s="6"/>
      <c r="E417" s="6"/>
      <c r="F417" s="6"/>
      <c r="G417" s="6"/>
      <c r="H417" s="6"/>
      <c r="I417" s="6"/>
      <c r="J417" s="3">
        <f t="shared" si="7"/>
        <v>0</v>
      </c>
      <c r="L417" s="6"/>
      <c r="M417" s="7"/>
      <c r="O417" s="8"/>
      <c r="P417" s="7"/>
    </row>
    <row r="418" spans="1:16">
      <c r="A418" s="2" t="s">
        <v>643</v>
      </c>
      <c r="B418" s="2" t="s">
        <v>45</v>
      </c>
      <c r="C418" s="2" t="s">
        <v>644</v>
      </c>
      <c r="D418" s="2">
        <v>189</v>
      </c>
      <c r="E418" s="2">
        <v>187</v>
      </c>
      <c r="F418" s="2">
        <v>142</v>
      </c>
      <c r="G418" s="2">
        <v>178</v>
      </c>
      <c r="H418" s="2">
        <v>194</v>
      </c>
      <c r="I418" s="2">
        <v>252</v>
      </c>
      <c r="J418" s="3">
        <f>SUM(D418:I418)</f>
        <v>1142</v>
      </c>
      <c r="L418" s="2" t="s">
        <v>3</v>
      </c>
      <c r="M418" s="3">
        <f>SUM(D418:D425)</f>
        <v>901</v>
      </c>
      <c r="O418" s="4" t="str">
        <f>A418</f>
        <v>Campbellsville</v>
      </c>
      <c r="P418" s="3">
        <f>SUM(M418:M423)</f>
        <v>5527</v>
      </c>
    </row>
    <row r="419" spans="1:16">
      <c r="A419" s="2" t="s">
        <v>643</v>
      </c>
      <c r="B419" s="2" t="s">
        <v>645</v>
      </c>
      <c r="C419" s="2" t="s">
        <v>646</v>
      </c>
      <c r="D419" s="2"/>
      <c r="E419" s="2"/>
      <c r="F419" s="2">
        <v>136</v>
      </c>
      <c r="G419" s="2"/>
      <c r="H419" s="2"/>
      <c r="I419" s="2"/>
      <c r="J419" s="3">
        <f t="shared" ref="J419:J482" si="8">SUM(D419:I419)</f>
        <v>136</v>
      </c>
      <c r="L419" s="2" t="s">
        <v>4</v>
      </c>
      <c r="M419" s="3">
        <f>SUM(E418:E425)</f>
        <v>931</v>
      </c>
      <c r="O419" s="4"/>
      <c r="P419" s="3"/>
    </row>
    <row r="420" spans="1:16">
      <c r="A420" s="2" t="s">
        <v>643</v>
      </c>
      <c r="B420" s="2" t="s">
        <v>647</v>
      </c>
      <c r="C420" s="2" t="s">
        <v>648</v>
      </c>
      <c r="D420" s="2">
        <v>199</v>
      </c>
      <c r="E420" s="2">
        <v>207</v>
      </c>
      <c r="F420" s="2">
        <v>192</v>
      </c>
      <c r="G420" s="2">
        <v>188</v>
      </c>
      <c r="H420" s="2">
        <v>177</v>
      </c>
      <c r="I420" s="2">
        <v>181</v>
      </c>
      <c r="J420" s="3">
        <f t="shared" si="8"/>
        <v>1144</v>
      </c>
      <c r="L420" s="2" t="s">
        <v>5</v>
      </c>
      <c r="M420" s="3">
        <f>SUM(F418:F425)</f>
        <v>830</v>
      </c>
      <c r="O420" s="4"/>
      <c r="P420" s="3"/>
    </row>
    <row r="421" spans="1:16">
      <c r="A421" s="2" t="s">
        <v>643</v>
      </c>
      <c r="B421" s="2" t="s">
        <v>649</v>
      </c>
      <c r="C421" s="2" t="s">
        <v>650</v>
      </c>
      <c r="D421" s="2">
        <v>168</v>
      </c>
      <c r="E421" s="2">
        <v>148</v>
      </c>
      <c r="F421" s="2"/>
      <c r="G421" s="2"/>
      <c r="H421" s="2">
        <v>173</v>
      </c>
      <c r="I421" s="2">
        <v>216</v>
      </c>
      <c r="J421" s="3">
        <f t="shared" si="8"/>
        <v>705</v>
      </c>
      <c r="L421" s="2" t="s">
        <v>6</v>
      </c>
      <c r="M421" s="3">
        <f>SUM(G418:G425)</f>
        <v>948</v>
      </c>
      <c r="O421" s="4"/>
      <c r="P421" s="3"/>
    </row>
    <row r="422" spans="1:16">
      <c r="A422" s="2" t="s">
        <v>643</v>
      </c>
      <c r="B422" s="2" t="s">
        <v>92</v>
      </c>
      <c r="C422" s="2" t="s">
        <v>651</v>
      </c>
      <c r="D422" s="2">
        <v>179</v>
      </c>
      <c r="E422" s="2">
        <v>196</v>
      </c>
      <c r="F422" s="2">
        <v>174</v>
      </c>
      <c r="G422" s="2">
        <v>226</v>
      </c>
      <c r="H422" s="2">
        <v>191</v>
      </c>
      <c r="I422" s="2">
        <v>232</v>
      </c>
      <c r="J422" s="3">
        <f t="shared" si="8"/>
        <v>1198</v>
      </c>
      <c r="L422" s="2" t="s">
        <v>7</v>
      </c>
      <c r="M422" s="3">
        <f>SUM(H418:H425)</f>
        <v>878</v>
      </c>
      <c r="O422" s="4"/>
      <c r="P422" s="3"/>
    </row>
    <row r="423" spans="1:16">
      <c r="A423" s="2" t="s">
        <v>643</v>
      </c>
      <c r="B423" s="2" t="s">
        <v>320</v>
      </c>
      <c r="C423" s="2" t="s">
        <v>652</v>
      </c>
      <c r="D423" s="2"/>
      <c r="E423" s="2"/>
      <c r="F423" s="2"/>
      <c r="G423" s="2">
        <v>157</v>
      </c>
      <c r="H423" s="2"/>
      <c r="I423" s="2"/>
      <c r="J423" s="3">
        <f t="shared" si="8"/>
        <v>157</v>
      </c>
      <c r="L423" s="2" t="s">
        <v>8</v>
      </c>
      <c r="M423" s="3">
        <f>SUM(I418:I425)</f>
        <v>1039</v>
      </c>
      <c r="O423" s="4"/>
      <c r="P423" s="3"/>
    </row>
    <row r="424" spans="1:16">
      <c r="A424" s="2" t="s">
        <v>643</v>
      </c>
      <c r="B424" s="2" t="s">
        <v>111</v>
      </c>
      <c r="C424" s="2" t="s">
        <v>653</v>
      </c>
      <c r="D424" s="2">
        <v>166</v>
      </c>
      <c r="E424" s="2">
        <v>193</v>
      </c>
      <c r="F424" s="2">
        <v>186</v>
      </c>
      <c r="G424" s="2">
        <v>199</v>
      </c>
      <c r="H424" s="2">
        <v>143</v>
      </c>
      <c r="I424" s="2">
        <v>158</v>
      </c>
      <c r="J424" s="3">
        <f t="shared" si="8"/>
        <v>1045</v>
      </c>
      <c r="L424" s="3"/>
      <c r="M424" s="3"/>
      <c r="O424" s="4"/>
      <c r="P424" s="3"/>
    </row>
    <row r="425" spans="1:16">
      <c r="A425" s="2" t="s">
        <v>643</v>
      </c>
      <c r="B425" s="2"/>
      <c r="C425" s="2"/>
      <c r="D425" s="2"/>
      <c r="E425" s="2"/>
      <c r="F425" s="2"/>
      <c r="G425" s="2"/>
      <c r="H425" s="2"/>
      <c r="I425" s="2"/>
      <c r="J425" s="3">
        <f t="shared" si="8"/>
        <v>0</v>
      </c>
      <c r="L425" s="2"/>
      <c r="M425" s="3"/>
      <c r="O425" s="4"/>
      <c r="P425" s="3"/>
    </row>
    <row r="426" spans="1:16">
      <c r="A426" s="6" t="s">
        <v>654</v>
      </c>
      <c r="B426" s="6" t="s">
        <v>77</v>
      </c>
      <c r="C426" s="6" t="s">
        <v>655</v>
      </c>
      <c r="D426" s="6">
        <v>182</v>
      </c>
      <c r="E426" s="6">
        <v>203</v>
      </c>
      <c r="F426" s="6">
        <v>179</v>
      </c>
      <c r="G426" s="6">
        <v>135</v>
      </c>
      <c r="H426" s="6"/>
      <c r="I426" s="6"/>
      <c r="J426" s="3">
        <f t="shared" si="8"/>
        <v>699</v>
      </c>
      <c r="L426" s="6" t="s">
        <v>3</v>
      </c>
      <c r="M426" s="7">
        <f>SUM(D426:D433)</f>
        <v>899</v>
      </c>
      <c r="O426" s="8" t="str">
        <f>A426</f>
        <v>Notre Dame - Ohio</v>
      </c>
      <c r="P426" s="7">
        <f>SUM(M426:M431)</f>
        <v>5758</v>
      </c>
    </row>
    <row r="427" spans="1:16">
      <c r="A427" s="6" t="s">
        <v>654</v>
      </c>
      <c r="B427" s="6" t="s">
        <v>656</v>
      </c>
      <c r="C427" s="6" t="s">
        <v>657</v>
      </c>
      <c r="D427" s="6">
        <v>231</v>
      </c>
      <c r="E427" s="6">
        <v>192</v>
      </c>
      <c r="F427" s="6">
        <v>234</v>
      </c>
      <c r="G427" s="6">
        <v>183</v>
      </c>
      <c r="H427" s="6">
        <v>194</v>
      </c>
      <c r="I427" s="6">
        <v>184</v>
      </c>
      <c r="J427" s="3">
        <f t="shared" si="8"/>
        <v>1218</v>
      </c>
      <c r="L427" s="6" t="s">
        <v>4</v>
      </c>
      <c r="M427" s="7">
        <f>SUM(E426:E433)</f>
        <v>869</v>
      </c>
      <c r="O427" s="8"/>
      <c r="P427" s="7"/>
    </row>
    <row r="428" spans="1:16">
      <c r="A428" s="6" t="s">
        <v>654</v>
      </c>
      <c r="B428" s="6" t="s">
        <v>658</v>
      </c>
      <c r="C428" s="6" t="s">
        <v>659</v>
      </c>
      <c r="D428" s="6"/>
      <c r="E428" s="6"/>
      <c r="F428" s="6">
        <v>172</v>
      </c>
      <c r="G428" s="6">
        <v>221</v>
      </c>
      <c r="H428" s="6">
        <v>205</v>
      </c>
      <c r="I428" s="6">
        <v>224</v>
      </c>
      <c r="J428" s="3">
        <f t="shared" si="8"/>
        <v>822</v>
      </c>
      <c r="L428" s="6" t="s">
        <v>5</v>
      </c>
      <c r="M428" s="7">
        <f>SUM(F426:F433)</f>
        <v>935</v>
      </c>
      <c r="O428" s="8"/>
      <c r="P428" s="7"/>
    </row>
    <row r="429" spans="1:16">
      <c r="A429" s="6" t="s">
        <v>654</v>
      </c>
      <c r="B429" s="6" t="s">
        <v>538</v>
      </c>
      <c r="C429" s="6" t="s">
        <v>56</v>
      </c>
      <c r="D429" s="6"/>
      <c r="E429" s="6"/>
      <c r="F429" s="6"/>
      <c r="G429" s="6"/>
      <c r="H429" s="6"/>
      <c r="I429" s="6"/>
      <c r="J429" s="3">
        <f t="shared" si="8"/>
        <v>0</v>
      </c>
      <c r="L429" s="6" t="s">
        <v>6</v>
      </c>
      <c r="M429" s="7">
        <f>SUM(G426:G433)</f>
        <v>973</v>
      </c>
      <c r="O429" s="8"/>
      <c r="P429" s="7"/>
    </row>
    <row r="430" spans="1:16">
      <c r="A430" s="6" t="s">
        <v>654</v>
      </c>
      <c r="B430" s="6" t="s">
        <v>660</v>
      </c>
      <c r="C430" s="6" t="s">
        <v>661</v>
      </c>
      <c r="D430" s="6"/>
      <c r="E430" s="6">
        <v>139</v>
      </c>
      <c r="F430" s="6">
        <v>173</v>
      </c>
      <c r="G430" s="6">
        <v>220</v>
      </c>
      <c r="H430" s="6">
        <v>236</v>
      </c>
      <c r="I430" s="6">
        <v>179</v>
      </c>
      <c r="J430" s="3">
        <f t="shared" si="8"/>
        <v>947</v>
      </c>
      <c r="L430" s="6" t="s">
        <v>7</v>
      </c>
      <c r="M430" s="7">
        <f>SUM(H426:H433)</f>
        <v>1110</v>
      </c>
      <c r="O430" s="8"/>
      <c r="P430" s="7"/>
    </row>
    <row r="431" spans="1:16">
      <c r="A431" s="6" t="s">
        <v>654</v>
      </c>
      <c r="B431" s="6" t="s">
        <v>159</v>
      </c>
      <c r="C431" s="6" t="s">
        <v>50</v>
      </c>
      <c r="D431" s="6">
        <v>125</v>
      </c>
      <c r="E431" s="6"/>
      <c r="F431" s="6"/>
      <c r="G431" s="6"/>
      <c r="H431" s="6"/>
      <c r="I431" s="6"/>
      <c r="J431" s="3">
        <f t="shared" si="8"/>
        <v>125</v>
      </c>
      <c r="L431" s="6" t="s">
        <v>8</v>
      </c>
      <c r="M431" s="7">
        <f>SUM(I426:I433)</f>
        <v>972</v>
      </c>
      <c r="O431" s="8"/>
      <c r="P431" s="7"/>
    </row>
    <row r="432" spans="1:16">
      <c r="A432" s="6" t="s">
        <v>654</v>
      </c>
      <c r="B432" s="6" t="s">
        <v>662</v>
      </c>
      <c r="C432" s="6" t="s">
        <v>348</v>
      </c>
      <c r="D432" s="6">
        <v>205</v>
      </c>
      <c r="E432" s="6">
        <v>136</v>
      </c>
      <c r="F432" s="6"/>
      <c r="G432" s="6"/>
      <c r="H432" s="6">
        <v>209</v>
      </c>
      <c r="I432" s="6">
        <v>203</v>
      </c>
      <c r="J432" s="3">
        <f t="shared" si="8"/>
        <v>753</v>
      </c>
      <c r="L432" s="6"/>
      <c r="M432" s="7"/>
      <c r="O432" s="8"/>
      <c r="P432" s="7"/>
    </row>
    <row r="433" spans="1:16">
      <c r="A433" s="6" t="s">
        <v>654</v>
      </c>
      <c r="B433" s="6" t="s">
        <v>663</v>
      </c>
      <c r="C433" s="6" t="s">
        <v>664</v>
      </c>
      <c r="D433" s="6">
        <v>156</v>
      </c>
      <c r="E433" s="6">
        <v>199</v>
      </c>
      <c r="F433" s="6">
        <v>177</v>
      </c>
      <c r="G433" s="6">
        <v>214</v>
      </c>
      <c r="H433" s="6">
        <v>266</v>
      </c>
      <c r="I433" s="6">
        <v>182</v>
      </c>
      <c r="J433" s="3">
        <f t="shared" si="8"/>
        <v>1194</v>
      </c>
      <c r="L433" s="6"/>
      <c r="M433" s="7"/>
      <c r="O433" s="8"/>
      <c r="P433" s="7"/>
    </row>
    <row r="434" spans="1:16">
      <c r="A434" s="2" t="s">
        <v>665</v>
      </c>
      <c r="B434" s="2" t="s">
        <v>206</v>
      </c>
      <c r="C434" s="2" t="s">
        <v>666</v>
      </c>
      <c r="D434" s="2"/>
      <c r="E434" s="2">
        <v>136</v>
      </c>
      <c r="F434" s="2">
        <v>153</v>
      </c>
      <c r="G434" s="2">
        <v>111</v>
      </c>
      <c r="H434" s="2"/>
      <c r="I434" s="2">
        <v>193</v>
      </c>
      <c r="J434" s="3">
        <f t="shared" si="8"/>
        <v>593</v>
      </c>
      <c r="L434" s="2" t="s">
        <v>3</v>
      </c>
      <c r="M434" s="3">
        <f>SUM(D434:D441)</f>
        <v>750</v>
      </c>
      <c r="O434" s="4" t="str">
        <f>A434</f>
        <v>Bowling Green State</v>
      </c>
      <c r="P434" s="3">
        <f>SUM(M434:M439)</f>
        <v>4830</v>
      </c>
    </row>
    <row r="435" spans="1:16">
      <c r="A435" s="2" t="s">
        <v>665</v>
      </c>
      <c r="B435" s="2" t="s">
        <v>667</v>
      </c>
      <c r="C435" s="2" t="s">
        <v>668</v>
      </c>
      <c r="D435" s="2">
        <v>123</v>
      </c>
      <c r="E435" s="2"/>
      <c r="F435" s="2">
        <v>171</v>
      </c>
      <c r="G435" s="2">
        <v>158</v>
      </c>
      <c r="H435" s="2">
        <v>180</v>
      </c>
      <c r="I435" s="2">
        <v>199</v>
      </c>
      <c r="J435" s="3">
        <f t="shared" si="8"/>
        <v>831</v>
      </c>
      <c r="L435" s="2" t="s">
        <v>4</v>
      </c>
      <c r="M435" s="3">
        <f>SUM(E434:E441)</f>
        <v>767</v>
      </c>
      <c r="O435" s="4"/>
      <c r="P435" s="3"/>
    </row>
    <row r="436" spans="1:16">
      <c r="A436" s="2" t="s">
        <v>665</v>
      </c>
      <c r="B436" s="2" t="s">
        <v>669</v>
      </c>
      <c r="C436" s="2" t="s">
        <v>670</v>
      </c>
      <c r="D436" s="2">
        <v>159</v>
      </c>
      <c r="E436" s="2">
        <v>156</v>
      </c>
      <c r="F436" s="2">
        <v>141</v>
      </c>
      <c r="G436" s="2"/>
      <c r="H436" s="2">
        <v>176</v>
      </c>
      <c r="I436" s="2">
        <v>180</v>
      </c>
      <c r="J436" s="3">
        <f t="shared" si="8"/>
        <v>812</v>
      </c>
      <c r="L436" s="2" t="s">
        <v>5</v>
      </c>
      <c r="M436" s="3">
        <f>SUM(F434:F441)</f>
        <v>760</v>
      </c>
      <c r="O436" s="4"/>
      <c r="P436" s="3"/>
    </row>
    <row r="437" spans="1:16">
      <c r="A437" s="2" t="s">
        <v>665</v>
      </c>
      <c r="B437" s="2" t="s">
        <v>443</v>
      </c>
      <c r="C437" s="2" t="s">
        <v>671</v>
      </c>
      <c r="D437" s="2">
        <v>158</v>
      </c>
      <c r="E437" s="2">
        <v>121</v>
      </c>
      <c r="F437" s="2"/>
      <c r="G437" s="2">
        <v>122</v>
      </c>
      <c r="H437" s="2">
        <v>139</v>
      </c>
      <c r="I437" s="2"/>
      <c r="J437" s="3">
        <f t="shared" si="8"/>
        <v>540</v>
      </c>
      <c r="L437" s="2" t="s">
        <v>6</v>
      </c>
      <c r="M437" s="3">
        <f>SUM(G434:G441)</f>
        <v>790</v>
      </c>
      <c r="O437" s="4"/>
      <c r="P437" s="3"/>
    </row>
    <row r="438" spans="1:16">
      <c r="A438" s="2" t="s">
        <v>665</v>
      </c>
      <c r="B438" s="2" t="s">
        <v>672</v>
      </c>
      <c r="C438" s="2" t="s">
        <v>673</v>
      </c>
      <c r="D438" s="2">
        <v>158</v>
      </c>
      <c r="E438" s="2">
        <v>183</v>
      </c>
      <c r="F438" s="2">
        <v>150</v>
      </c>
      <c r="G438" s="2">
        <v>178</v>
      </c>
      <c r="H438" s="2">
        <v>153</v>
      </c>
      <c r="I438" s="2">
        <v>147</v>
      </c>
      <c r="J438" s="3">
        <f t="shared" si="8"/>
        <v>969</v>
      </c>
      <c r="L438" s="2" t="s">
        <v>7</v>
      </c>
      <c r="M438" s="3">
        <f>SUM(H434:H441)</f>
        <v>837</v>
      </c>
      <c r="O438" s="4"/>
      <c r="P438" s="3"/>
    </row>
    <row r="439" spans="1:16">
      <c r="A439" s="2" t="s">
        <v>665</v>
      </c>
      <c r="B439" s="2" t="s">
        <v>89</v>
      </c>
      <c r="C439" s="2" t="s">
        <v>674</v>
      </c>
      <c r="D439" s="2">
        <v>152</v>
      </c>
      <c r="E439" s="2">
        <v>171</v>
      </c>
      <c r="F439" s="2">
        <v>145</v>
      </c>
      <c r="G439" s="2">
        <v>221</v>
      </c>
      <c r="H439" s="2">
        <v>189</v>
      </c>
      <c r="I439" s="2">
        <v>207</v>
      </c>
      <c r="J439" s="3">
        <f t="shared" si="8"/>
        <v>1085</v>
      </c>
      <c r="L439" s="2" t="s">
        <v>8</v>
      </c>
      <c r="M439" s="3">
        <f>SUM(I434:I441)</f>
        <v>926</v>
      </c>
      <c r="O439" s="4"/>
      <c r="P439" s="3"/>
    </row>
    <row r="440" spans="1:16">
      <c r="A440" s="2" t="s">
        <v>665</v>
      </c>
      <c r="B440" s="2"/>
      <c r="C440" s="2"/>
      <c r="D440" s="2"/>
      <c r="E440" s="2"/>
      <c r="F440" s="2"/>
      <c r="G440" s="2"/>
      <c r="H440" s="2"/>
      <c r="I440" s="2"/>
      <c r="J440" s="3">
        <f t="shared" si="8"/>
        <v>0</v>
      </c>
      <c r="L440" s="3"/>
      <c r="M440" s="3"/>
      <c r="O440" s="4"/>
      <c r="P440" s="3"/>
    </row>
    <row r="441" spans="1:16">
      <c r="A441" s="2" t="s">
        <v>665</v>
      </c>
      <c r="B441" s="2"/>
      <c r="C441" s="2"/>
      <c r="D441" s="2"/>
      <c r="E441" s="2"/>
      <c r="F441" s="2"/>
      <c r="G441" s="2"/>
      <c r="H441" s="2"/>
      <c r="I441" s="2"/>
      <c r="J441" s="3">
        <f t="shared" si="8"/>
        <v>0</v>
      </c>
      <c r="L441" s="2"/>
      <c r="M441" s="3"/>
      <c r="O441" s="4"/>
      <c r="P441" s="3"/>
    </row>
    <row r="442" spans="1:16">
      <c r="A442" s="6" t="s">
        <v>675</v>
      </c>
      <c r="B442" s="6" t="s">
        <v>676</v>
      </c>
      <c r="C442" s="6" t="s">
        <v>677</v>
      </c>
      <c r="D442" s="6"/>
      <c r="E442" s="6"/>
      <c r="F442" s="6"/>
      <c r="G442" s="6"/>
      <c r="H442" s="6"/>
      <c r="I442" s="6"/>
      <c r="J442" s="3">
        <f t="shared" si="8"/>
        <v>0</v>
      </c>
      <c r="L442" s="6" t="s">
        <v>3</v>
      </c>
      <c r="M442" s="7">
        <f>SUM(D442:D449)</f>
        <v>866</v>
      </c>
      <c r="O442" s="8" t="str">
        <f>A442</f>
        <v>St. Johns</v>
      </c>
      <c r="P442" s="7">
        <f>SUM(M442:M447)</f>
        <v>5965</v>
      </c>
    </row>
    <row r="443" spans="1:16">
      <c r="A443" s="6" t="s">
        <v>675</v>
      </c>
      <c r="B443" s="6" t="s">
        <v>45</v>
      </c>
      <c r="C443" s="6" t="s">
        <v>678</v>
      </c>
      <c r="D443" s="6"/>
      <c r="E443" s="6">
        <v>242</v>
      </c>
      <c r="F443" s="6">
        <v>180</v>
      </c>
      <c r="G443" s="6">
        <v>144</v>
      </c>
      <c r="H443" s="6">
        <v>179</v>
      </c>
      <c r="I443" s="6">
        <v>184</v>
      </c>
      <c r="J443" s="3">
        <f t="shared" si="8"/>
        <v>929</v>
      </c>
      <c r="L443" s="6" t="s">
        <v>4</v>
      </c>
      <c r="M443" s="7">
        <f>SUM(E442:E449)</f>
        <v>1110</v>
      </c>
      <c r="O443" s="8"/>
      <c r="P443" s="7"/>
    </row>
    <row r="444" spans="1:16">
      <c r="A444" s="6" t="s">
        <v>675</v>
      </c>
      <c r="B444" s="6" t="s">
        <v>305</v>
      </c>
      <c r="C444" s="6" t="s">
        <v>679</v>
      </c>
      <c r="D444" s="6"/>
      <c r="E444" s="6">
        <v>165</v>
      </c>
      <c r="F444" s="6">
        <v>198</v>
      </c>
      <c r="G444" s="6">
        <v>213</v>
      </c>
      <c r="H444" s="6">
        <v>213</v>
      </c>
      <c r="I444" s="6">
        <v>214</v>
      </c>
      <c r="J444" s="3">
        <f t="shared" si="8"/>
        <v>1003</v>
      </c>
      <c r="L444" s="6" t="s">
        <v>5</v>
      </c>
      <c r="M444" s="7">
        <f>SUM(F442:F449)</f>
        <v>1019</v>
      </c>
      <c r="O444" s="8"/>
      <c r="P444" s="7"/>
    </row>
    <row r="445" spans="1:16">
      <c r="A445" s="6" t="s">
        <v>675</v>
      </c>
      <c r="B445" s="6" t="s">
        <v>99</v>
      </c>
      <c r="C445" s="6" t="s">
        <v>680</v>
      </c>
      <c r="D445" s="6">
        <v>195</v>
      </c>
      <c r="E445" s="6">
        <v>246</v>
      </c>
      <c r="F445" s="6">
        <v>195</v>
      </c>
      <c r="G445" s="6">
        <v>214</v>
      </c>
      <c r="H445" s="6">
        <v>224</v>
      </c>
      <c r="I445" s="6">
        <v>170</v>
      </c>
      <c r="J445" s="3">
        <f t="shared" si="8"/>
        <v>1244</v>
      </c>
      <c r="L445" s="6" t="s">
        <v>6</v>
      </c>
      <c r="M445" s="7">
        <f>SUM(G442:G449)</f>
        <v>956</v>
      </c>
      <c r="O445" s="8"/>
      <c r="P445" s="7"/>
    </row>
    <row r="446" spans="1:16">
      <c r="A446" s="6" t="s">
        <v>675</v>
      </c>
      <c r="B446" s="6" t="s">
        <v>170</v>
      </c>
      <c r="C446" s="6" t="s">
        <v>681</v>
      </c>
      <c r="D446" s="6">
        <v>218</v>
      </c>
      <c r="E446" s="6">
        <v>221</v>
      </c>
      <c r="F446" s="6">
        <v>241</v>
      </c>
      <c r="G446" s="6">
        <v>174</v>
      </c>
      <c r="H446" s="6">
        <v>237</v>
      </c>
      <c r="I446" s="6">
        <v>222</v>
      </c>
      <c r="J446" s="3">
        <f t="shared" si="8"/>
        <v>1313</v>
      </c>
      <c r="L446" s="6" t="s">
        <v>7</v>
      </c>
      <c r="M446" s="7">
        <f>SUM(H442:H449)</f>
        <v>1002</v>
      </c>
      <c r="O446" s="8"/>
      <c r="P446" s="7"/>
    </row>
    <row r="447" spans="1:16">
      <c r="A447" s="6" t="s">
        <v>675</v>
      </c>
      <c r="B447" s="6" t="s">
        <v>75</v>
      </c>
      <c r="C447" s="6" t="s">
        <v>682</v>
      </c>
      <c r="D447" s="6">
        <v>165</v>
      </c>
      <c r="E447" s="6">
        <v>236</v>
      </c>
      <c r="F447" s="6">
        <v>205</v>
      </c>
      <c r="G447" s="6">
        <v>211</v>
      </c>
      <c r="H447" s="6">
        <v>149</v>
      </c>
      <c r="I447" s="6"/>
      <c r="J447" s="3">
        <f t="shared" si="8"/>
        <v>966</v>
      </c>
      <c r="L447" s="6" t="s">
        <v>8</v>
      </c>
      <c r="M447" s="7">
        <f>SUM(I442:I449)</f>
        <v>1012</v>
      </c>
      <c r="O447" s="8"/>
      <c r="P447" s="7"/>
    </row>
    <row r="448" spans="1:16">
      <c r="A448" s="6" t="s">
        <v>675</v>
      </c>
      <c r="B448" s="6" t="s">
        <v>83</v>
      </c>
      <c r="C448" s="6" t="s">
        <v>683</v>
      </c>
      <c r="D448" s="6">
        <v>138</v>
      </c>
      <c r="E448" s="6"/>
      <c r="F448" s="6"/>
      <c r="G448" s="6"/>
      <c r="H448" s="6"/>
      <c r="I448" s="6">
        <v>222</v>
      </c>
      <c r="J448" s="3">
        <f t="shared" si="8"/>
        <v>360</v>
      </c>
      <c r="L448" s="6"/>
      <c r="M448" s="7"/>
      <c r="O448" s="8"/>
      <c r="P448" s="7"/>
    </row>
    <row r="449" spans="1:16">
      <c r="A449" s="6" t="s">
        <v>675</v>
      </c>
      <c r="B449" s="6" t="s">
        <v>684</v>
      </c>
      <c r="C449" s="6" t="s">
        <v>685</v>
      </c>
      <c r="D449" s="6">
        <v>150</v>
      </c>
      <c r="E449" s="6"/>
      <c r="F449" s="6"/>
      <c r="G449" s="6"/>
      <c r="H449" s="6"/>
      <c r="I449" s="6"/>
      <c r="J449" s="3">
        <f t="shared" si="8"/>
        <v>150</v>
      </c>
      <c r="L449" s="6"/>
      <c r="M449" s="7"/>
      <c r="O449" s="8"/>
      <c r="P449" s="7"/>
    </row>
    <row r="450" spans="1:16">
      <c r="A450" s="2" t="s">
        <v>686</v>
      </c>
      <c r="B450" s="2" t="s">
        <v>14</v>
      </c>
      <c r="C450" s="2" t="s">
        <v>687</v>
      </c>
      <c r="D450" s="2">
        <v>179</v>
      </c>
      <c r="E450" s="2">
        <v>181</v>
      </c>
      <c r="F450" s="2">
        <v>221</v>
      </c>
      <c r="G450" s="2">
        <v>212</v>
      </c>
      <c r="H450" s="2">
        <v>201</v>
      </c>
      <c r="I450" s="2">
        <v>177</v>
      </c>
      <c r="J450" s="3">
        <f t="shared" si="8"/>
        <v>1171</v>
      </c>
      <c r="L450" s="2" t="s">
        <v>3</v>
      </c>
      <c r="M450" s="3">
        <f>SUM(D450:D457)</f>
        <v>854</v>
      </c>
      <c r="O450" s="4" t="str">
        <f>A450</f>
        <v>Central Oklahoma</v>
      </c>
      <c r="P450" s="3">
        <f>SUM(M450:M455)</f>
        <v>5459</v>
      </c>
    </row>
    <row r="451" spans="1:16">
      <c r="A451" s="2" t="s">
        <v>686</v>
      </c>
      <c r="B451" s="2" t="s">
        <v>645</v>
      </c>
      <c r="C451" s="2" t="s">
        <v>688</v>
      </c>
      <c r="D451" s="2">
        <v>173</v>
      </c>
      <c r="E451" s="2">
        <v>166</v>
      </c>
      <c r="F451" s="2">
        <v>175</v>
      </c>
      <c r="G451" s="2">
        <v>181</v>
      </c>
      <c r="H451" s="2">
        <v>203</v>
      </c>
      <c r="I451" s="2">
        <v>140</v>
      </c>
      <c r="J451" s="3">
        <f t="shared" si="8"/>
        <v>1038</v>
      </c>
      <c r="L451" s="2" t="s">
        <v>4</v>
      </c>
      <c r="M451" s="3">
        <f>SUM(E450:E457)</f>
        <v>832</v>
      </c>
      <c r="O451" s="4"/>
      <c r="P451" s="3"/>
    </row>
    <row r="452" spans="1:16">
      <c r="A452" s="2" t="s">
        <v>686</v>
      </c>
      <c r="B452" s="2" t="s">
        <v>210</v>
      </c>
      <c r="C452" s="2" t="s">
        <v>689</v>
      </c>
      <c r="D452" s="2"/>
      <c r="E452" s="2"/>
      <c r="F452" s="2">
        <v>126</v>
      </c>
      <c r="G452" s="2"/>
      <c r="H452" s="2"/>
      <c r="I452" s="2"/>
      <c r="J452" s="3">
        <f t="shared" si="8"/>
        <v>126</v>
      </c>
      <c r="L452" s="2" t="s">
        <v>5</v>
      </c>
      <c r="M452" s="3">
        <f>SUM(F450:F457)</f>
        <v>847</v>
      </c>
      <c r="O452" s="4"/>
      <c r="P452" s="3"/>
    </row>
    <row r="453" spans="1:16">
      <c r="A453" s="2" t="s">
        <v>686</v>
      </c>
      <c r="B453" s="2" t="s">
        <v>385</v>
      </c>
      <c r="C453" s="2" t="s">
        <v>690</v>
      </c>
      <c r="D453" s="2"/>
      <c r="E453" s="2"/>
      <c r="F453" s="2"/>
      <c r="G453" s="2">
        <v>216</v>
      </c>
      <c r="H453" s="2">
        <v>163</v>
      </c>
      <c r="I453" s="2"/>
      <c r="J453" s="3">
        <f t="shared" si="8"/>
        <v>379</v>
      </c>
      <c r="L453" s="2" t="s">
        <v>6</v>
      </c>
      <c r="M453" s="3">
        <f>SUM(G450:G457)</f>
        <v>1001</v>
      </c>
      <c r="O453" s="4"/>
      <c r="P453" s="3"/>
    </row>
    <row r="454" spans="1:16">
      <c r="A454" s="2" t="s">
        <v>686</v>
      </c>
      <c r="B454" s="2" t="s">
        <v>424</v>
      </c>
      <c r="C454" s="2" t="s">
        <v>691</v>
      </c>
      <c r="D454" s="2">
        <v>159</v>
      </c>
      <c r="E454" s="2">
        <v>146</v>
      </c>
      <c r="F454" s="2"/>
      <c r="G454" s="2">
        <v>213</v>
      </c>
      <c r="H454" s="2">
        <v>180</v>
      </c>
      <c r="I454" s="2">
        <v>194</v>
      </c>
      <c r="J454" s="3">
        <f t="shared" si="8"/>
        <v>892</v>
      </c>
      <c r="L454" s="2" t="s">
        <v>7</v>
      </c>
      <c r="M454" s="3">
        <f>SUM(H450:H457)</f>
        <v>991</v>
      </c>
      <c r="O454" s="4"/>
      <c r="P454" s="3"/>
    </row>
    <row r="455" spans="1:16">
      <c r="A455" s="2" t="s">
        <v>686</v>
      </c>
      <c r="B455" s="2" t="s">
        <v>130</v>
      </c>
      <c r="C455" s="2" t="s">
        <v>692</v>
      </c>
      <c r="D455" s="2">
        <v>139</v>
      </c>
      <c r="E455" s="2"/>
      <c r="F455" s="2">
        <v>130</v>
      </c>
      <c r="G455" s="2"/>
      <c r="H455" s="2"/>
      <c r="I455" s="2">
        <v>245</v>
      </c>
      <c r="J455" s="3">
        <f t="shared" si="8"/>
        <v>514</v>
      </c>
      <c r="L455" s="2" t="s">
        <v>8</v>
      </c>
      <c r="M455" s="3">
        <f>SUM(I450:I457)</f>
        <v>934</v>
      </c>
      <c r="O455" s="4"/>
      <c r="P455" s="3"/>
    </row>
    <row r="456" spans="1:16">
      <c r="A456" s="2" t="s">
        <v>686</v>
      </c>
      <c r="B456" s="2" t="s">
        <v>358</v>
      </c>
      <c r="C456" s="2" t="s">
        <v>693</v>
      </c>
      <c r="D456" s="2">
        <v>204</v>
      </c>
      <c r="E456" s="2">
        <v>211</v>
      </c>
      <c r="F456" s="2">
        <v>195</v>
      </c>
      <c r="G456" s="2">
        <v>179</v>
      </c>
      <c r="H456" s="2">
        <v>244</v>
      </c>
      <c r="I456" s="2">
        <v>178</v>
      </c>
      <c r="J456" s="3">
        <f t="shared" si="8"/>
        <v>1211</v>
      </c>
      <c r="L456" s="3"/>
      <c r="M456" s="3"/>
      <c r="O456" s="4"/>
      <c r="P456" s="3"/>
    </row>
    <row r="457" spans="1:16">
      <c r="A457" s="2" t="s">
        <v>686</v>
      </c>
      <c r="B457" s="2" t="s">
        <v>226</v>
      </c>
      <c r="C457" s="2" t="s">
        <v>694</v>
      </c>
      <c r="D457" s="2"/>
      <c r="E457" s="2">
        <v>128</v>
      </c>
      <c r="F457" s="2"/>
      <c r="G457" s="2"/>
      <c r="H457" s="2"/>
      <c r="I457" s="2"/>
      <c r="J457" s="3">
        <f t="shared" si="8"/>
        <v>128</v>
      </c>
      <c r="L457" s="2"/>
      <c r="M457" s="3"/>
      <c r="O457" s="4"/>
      <c r="P457" s="3"/>
    </row>
    <row r="458" spans="1:16">
      <c r="A458" s="6" t="s">
        <v>695</v>
      </c>
      <c r="B458" s="6" t="s">
        <v>326</v>
      </c>
      <c r="C458" s="6" t="s">
        <v>696</v>
      </c>
      <c r="D458" s="6">
        <v>171</v>
      </c>
      <c r="E458" s="6">
        <v>160</v>
      </c>
      <c r="F458" s="6">
        <v>124</v>
      </c>
      <c r="G458" s="6">
        <v>170</v>
      </c>
      <c r="H458" s="6"/>
      <c r="I458" s="6">
        <v>144</v>
      </c>
      <c r="J458" s="3">
        <f t="shared" si="8"/>
        <v>769</v>
      </c>
      <c r="L458" s="6" t="s">
        <v>3</v>
      </c>
      <c r="M458" s="7">
        <f>SUM(D458:D465)</f>
        <v>958</v>
      </c>
      <c r="O458" s="8" t="str">
        <f>A458</f>
        <v>Concordia</v>
      </c>
      <c r="P458" s="7">
        <f>SUM(M458:M463)</f>
        <v>5558</v>
      </c>
    </row>
    <row r="459" spans="1:16">
      <c r="A459" s="6" t="s">
        <v>695</v>
      </c>
      <c r="B459" s="6" t="s">
        <v>89</v>
      </c>
      <c r="C459" s="6" t="s">
        <v>697</v>
      </c>
      <c r="D459" s="6">
        <v>230</v>
      </c>
      <c r="E459" s="6">
        <v>185</v>
      </c>
      <c r="F459" s="6">
        <v>185</v>
      </c>
      <c r="G459" s="6">
        <v>191</v>
      </c>
      <c r="H459" s="6">
        <v>198</v>
      </c>
      <c r="I459" s="6">
        <v>223</v>
      </c>
      <c r="J459" s="3">
        <f t="shared" si="8"/>
        <v>1212</v>
      </c>
      <c r="L459" s="6" t="s">
        <v>4</v>
      </c>
      <c r="M459" s="7">
        <f>SUM(E458:E465)</f>
        <v>935</v>
      </c>
      <c r="O459" s="8"/>
      <c r="P459" s="7"/>
    </row>
    <row r="460" spans="1:16">
      <c r="A460" s="6" t="s">
        <v>695</v>
      </c>
      <c r="B460" s="6" t="s">
        <v>199</v>
      </c>
      <c r="C460" s="6" t="s">
        <v>48</v>
      </c>
      <c r="D460" s="6"/>
      <c r="E460" s="6"/>
      <c r="F460" s="6"/>
      <c r="G460" s="6">
        <v>211</v>
      </c>
      <c r="H460" s="6">
        <v>140</v>
      </c>
      <c r="I460" s="6">
        <v>185</v>
      </c>
      <c r="J460" s="3">
        <f t="shared" si="8"/>
        <v>536</v>
      </c>
      <c r="L460" s="6" t="s">
        <v>5</v>
      </c>
      <c r="M460" s="7">
        <f>SUM(F458:F465)</f>
        <v>861</v>
      </c>
      <c r="O460" s="8"/>
      <c r="P460" s="7"/>
    </row>
    <row r="461" spans="1:16">
      <c r="A461" s="6" t="s">
        <v>695</v>
      </c>
      <c r="B461" s="6" t="s">
        <v>698</v>
      </c>
      <c r="C461" s="6" t="s">
        <v>699</v>
      </c>
      <c r="D461" s="6">
        <v>171</v>
      </c>
      <c r="E461" s="6">
        <v>200</v>
      </c>
      <c r="F461" s="6">
        <v>206</v>
      </c>
      <c r="G461" s="6">
        <v>152</v>
      </c>
      <c r="H461" s="6">
        <v>206</v>
      </c>
      <c r="I461" s="6">
        <v>224</v>
      </c>
      <c r="J461" s="3">
        <f t="shared" si="8"/>
        <v>1159</v>
      </c>
      <c r="L461" s="6" t="s">
        <v>6</v>
      </c>
      <c r="M461" s="7">
        <f>SUM(G458:G465)</f>
        <v>918</v>
      </c>
      <c r="O461" s="8"/>
      <c r="P461" s="7"/>
    </row>
    <row r="462" spans="1:16">
      <c r="A462" s="6" t="s">
        <v>695</v>
      </c>
      <c r="B462" s="6" t="s">
        <v>700</v>
      </c>
      <c r="C462" s="6" t="s">
        <v>701</v>
      </c>
      <c r="D462" s="6">
        <v>188</v>
      </c>
      <c r="E462" s="6">
        <v>210</v>
      </c>
      <c r="F462" s="6">
        <v>127</v>
      </c>
      <c r="G462" s="6"/>
      <c r="H462" s="6">
        <v>145</v>
      </c>
      <c r="I462" s="6"/>
      <c r="J462" s="3">
        <f t="shared" si="8"/>
        <v>670</v>
      </c>
      <c r="L462" s="6" t="s">
        <v>7</v>
      </c>
      <c r="M462" s="7">
        <f>SUM(H458:H465)</f>
        <v>905</v>
      </c>
      <c r="O462" s="8"/>
      <c r="P462" s="7"/>
    </row>
    <row r="463" spans="1:16">
      <c r="A463" s="6" t="s">
        <v>695</v>
      </c>
      <c r="B463" s="6" t="s">
        <v>293</v>
      </c>
      <c r="C463" s="6" t="s">
        <v>702</v>
      </c>
      <c r="D463" s="6">
        <v>198</v>
      </c>
      <c r="E463" s="6">
        <v>180</v>
      </c>
      <c r="F463" s="6">
        <v>219</v>
      </c>
      <c r="G463" s="6">
        <v>194</v>
      </c>
      <c r="H463" s="6">
        <v>216</v>
      </c>
      <c r="I463" s="6">
        <v>205</v>
      </c>
      <c r="J463" s="3">
        <f t="shared" si="8"/>
        <v>1212</v>
      </c>
      <c r="L463" s="6" t="s">
        <v>8</v>
      </c>
      <c r="M463" s="7">
        <f>SUM(I458:I465)</f>
        <v>981</v>
      </c>
      <c r="O463" s="8"/>
      <c r="P463" s="7"/>
    </row>
    <row r="464" spans="1:16">
      <c r="A464" s="6" t="s">
        <v>695</v>
      </c>
      <c r="B464" s="6"/>
      <c r="C464" s="6"/>
      <c r="D464" s="6"/>
      <c r="E464" s="6"/>
      <c r="F464" s="6"/>
      <c r="G464" s="6"/>
      <c r="H464" s="6"/>
      <c r="I464" s="6"/>
      <c r="J464" s="3">
        <f t="shared" si="8"/>
        <v>0</v>
      </c>
      <c r="L464" s="6"/>
      <c r="M464" s="7"/>
      <c r="O464" s="8"/>
      <c r="P464" s="7"/>
    </row>
    <row r="465" spans="1:16">
      <c r="A465" s="6" t="s">
        <v>695</v>
      </c>
      <c r="B465" s="6"/>
      <c r="C465" s="6"/>
      <c r="D465" s="6"/>
      <c r="E465" s="6"/>
      <c r="F465" s="6"/>
      <c r="G465" s="6"/>
      <c r="H465" s="6"/>
      <c r="I465" s="6"/>
      <c r="J465" s="3">
        <f t="shared" si="8"/>
        <v>0</v>
      </c>
      <c r="L465" s="6"/>
      <c r="M465" s="7"/>
      <c r="O465" s="8"/>
      <c r="P465" s="7"/>
    </row>
    <row r="466" spans="1:16">
      <c r="A466" s="2" t="s">
        <v>703</v>
      </c>
      <c r="B466" s="2" t="s">
        <v>206</v>
      </c>
      <c r="C466" s="2" t="s">
        <v>704</v>
      </c>
      <c r="D466" s="2">
        <v>157</v>
      </c>
      <c r="E466" s="2">
        <v>176</v>
      </c>
      <c r="F466" s="2">
        <v>173</v>
      </c>
      <c r="G466" s="2">
        <v>186</v>
      </c>
      <c r="H466" s="2">
        <v>140</v>
      </c>
      <c r="I466" s="2">
        <v>172</v>
      </c>
      <c r="J466" s="3">
        <f t="shared" si="8"/>
        <v>1004</v>
      </c>
      <c r="L466" s="2" t="s">
        <v>3</v>
      </c>
      <c r="M466" s="3">
        <f>SUM(D466:D473)</f>
        <v>869</v>
      </c>
      <c r="O466" s="4" t="str">
        <f>A466</f>
        <v>Missouri Baptist</v>
      </c>
      <c r="P466" s="3">
        <f>SUM(M466:M471)</f>
        <v>5044</v>
      </c>
    </row>
    <row r="467" spans="1:16">
      <c r="A467" s="2" t="s">
        <v>703</v>
      </c>
      <c r="B467" s="2" t="s">
        <v>567</v>
      </c>
      <c r="C467" s="2" t="s">
        <v>705</v>
      </c>
      <c r="D467" s="2"/>
      <c r="E467" s="2"/>
      <c r="F467" s="2"/>
      <c r="G467" s="2"/>
      <c r="H467" s="2"/>
      <c r="I467" s="2"/>
      <c r="J467" s="3">
        <f t="shared" si="8"/>
        <v>0</v>
      </c>
      <c r="L467" s="2" t="s">
        <v>4</v>
      </c>
      <c r="M467" s="3">
        <f>SUM(E466:E473)</f>
        <v>921</v>
      </c>
      <c r="O467" s="4"/>
      <c r="P467" s="3"/>
    </row>
    <row r="468" spans="1:16">
      <c r="A468" s="2" t="s">
        <v>703</v>
      </c>
      <c r="B468" s="2" t="s">
        <v>385</v>
      </c>
      <c r="C468" s="2" t="s">
        <v>706</v>
      </c>
      <c r="D468" s="2">
        <v>192</v>
      </c>
      <c r="E468" s="2">
        <v>184</v>
      </c>
      <c r="F468" s="2">
        <v>157</v>
      </c>
      <c r="G468" s="2">
        <v>156</v>
      </c>
      <c r="H468" s="2">
        <v>158</v>
      </c>
      <c r="I468" s="2">
        <v>212</v>
      </c>
      <c r="J468" s="3">
        <f t="shared" si="8"/>
        <v>1059</v>
      </c>
      <c r="L468" s="2" t="s">
        <v>5</v>
      </c>
      <c r="M468" s="3">
        <f>SUM(F466:F473)</f>
        <v>800</v>
      </c>
      <c r="O468" s="4"/>
      <c r="P468" s="3"/>
    </row>
    <row r="469" spans="1:16">
      <c r="A469" s="2" t="s">
        <v>703</v>
      </c>
      <c r="B469" s="2" t="s">
        <v>707</v>
      </c>
      <c r="C469" s="2" t="s">
        <v>708</v>
      </c>
      <c r="D469" s="2">
        <v>154</v>
      </c>
      <c r="E469" s="2">
        <v>176</v>
      </c>
      <c r="F469" s="2">
        <v>155</v>
      </c>
      <c r="G469" s="2">
        <v>153</v>
      </c>
      <c r="H469" s="2">
        <v>150</v>
      </c>
      <c r="I469" s="2">
        <v>156</v>
      </c>
      <c r="J469" s="3">
        <f t="shared" si="8"/>
        <v>944</v>
      </c>
      <c r="L469" s="2" t="s">
        <v>6</v>
      </c>
      <c r="M469" s="3">
        <f>SUM(G466:G473)</f>
        <v>762</v>
      </c>
      <c r="O469" s="4"/>
      <c r="P469" s="3"/>
    </row>
    <row r="470" spans="1:16">
      <c r="A470" s="2" t="s">
        <v>703</v>
      </c>
      <c r="B470" s="2" t="s">
        <v>23</v>
      </c>
      <c r="C470" s="2" t="s">
        <v>290</v>
      </c>
      <c r="D470" s="2">
        <v>158</v>
      </c>
      <c r="E470" s="2">
        <v>193</v>
      </c>
      <c r="F470" s="2">
        <v>168</v>
      </c>
      <c r="G470" s="2">
        <v>153</v>
      </c>
      <c r="H470" s="2">
        <v>163</v>
      </c>
      <c r="I470" s="2">
        <v>210</v>
      </c>
      <c r="J470" s="3">
        <f t="shared" si="8"/>
        <v>1045</v>
      </c>
      <c r="L470" s="2" t="s">
        <v>7</v>
      </c>
      <c r="M470" s="3">
        <f>SUM(H466:H473)</f>
        <v>765</v>
      </c>
      <c r="O470" s="4"/>
      <c r="P470" s="3"/>
    </row>
    <row r="471" spans="1:16">
      <c r="A471" s="2" t="s">
        <v>703</v>
      </c>
      <c r="B471" s="2" t="s">
        <v>709</v>
      </c>
      <c r="C471" s="2" t="s">
        <v>710</v>
      </c>
      <c r="D471" s="2"/>
      <c r="E471" s="2"/>
      <c r="F471" s="2"/>
      <c r="G471" s="2"/>
      <c r="H471" s="2">
        <v>154</v>
      </c>
      <c r="I471" s="2">
        <v>177</v>
      </c>
      <c r="J471" s="3">
        <f t="shared" si="8"/>
        <v>331</v>
      </c>
      <c r="L471" s="2" t="s">
        <v>8</v>
      </c>
      <c r="M471" s="3">
        <f>SUM(I466:I473)</f>
        <v>927</v>
      </c>
      <c r="O471" s="4"/>
      <c r="P471" s="3"/>
    </row>
    <row r="472" spans="1:16">
      <c r="A472" s="2" t="s">
        <v>703</v>
      </c>
      <c r="B472" s="2" t="s">
        <v>97</v>
      </c>
      <c r="C472" s="2" t="s">
        <v>711</v>
      </c>
      <c r="D472" s="2"/>
      <c r="E472" s="2"/>
      <c r="F472" s="2"/>
      <c r="G472" s="2">
        <v>114</v>
      </c>
      <c r="H472" s="2"/>
      <c r="I472" s="2"/>
      <c r="J472" s="3">
        <f t="shared" si="8"/>
        <v>114</v>
      </c>
      <c r="L472" s="3"/>
      <c r="M472" s="3"/>
      <c r="O472" s="4"/>
      <c r="P472" s="3"/>
    </row>
    <row r="473" spans="1:16">
      <c r="A473" s="2" t="s">
        <v>703</v>
      </c>
      <c r="B473" s="2" t="s">
        <v>712</v>
      </c>
      <c r="C473" s="2" t="s">
        <v>58</v>
      </c>
      <c r="D473" s="2">
        <v>208</v>
      </c>
      <c r="E473" s="2">
        <v>192</v>
      </c>
      <c r="F473" s="2">
        <v>147</v>
      </c>
      <c r="G473" s="2"/>
      <c r="H473" s="2"/>
      <c r="I473" s="2"/>
      <c r="J473" s="3">
        <f t="shared" si="8"/>
        <v>547</v>
      </c>
      <c r="L473" s="2"/>
      <c r="M473" s="3"/>
      <c r="O473" s="4"/>
      <c r="P473" s="3"/>
    </row>
    <row r="474" spans="1:16">
      <c r="A474" s="6" t="s">
        <v>713</v>
      </c>
      <c r="B474" s="6" t="s">
        <v>326</v>
      </c>
      <c r="C474" s="6" t="s">
        <v>238</v>
      </c>
      <c r="D474" s="6">
        <v>214</v>
      </c>
      <c r="E474" s="6">
        <v>167</v>
      </c>
      <c r="F474" s="6">
        <v>213</v>
      </c>
      <c r="G474" s="6">
        <v>193</v>
      </c>
      <c r="H474" s="6">
        <v>213</v>
      </c>
      <c r="I474" s="6">
        <v>195</v>
      </c>
      <c r="J474" s="3">
        <f t="shared" si="8"/>
        <v>1195</v>
      </c>
      <c r="L474" s="6" t="s">
        <v>3</v>
      </c>
      <c r="M474" s="7">
        <f>SUM(D474:D481)</f>
        <v>949</v>
      </c>
      <c r="O474" s="8" t="str">
        <f>A474</f>
        <v>Mount Mercy</v>
      </c>
      <c r="P474" s="7">
        <f>SUM(M474:M479)</f>
        <v>5589</v>
      </c>
    </row>
    <row r="475" spans="1:16">
      <c r="A475" s="6" t="s">
        <v>713</v>
      </c>
      <c r="B475" s="6" t="s">
        <v>467</v>
      </c>
      <c r="C475" s="6" t="s">
        <v>714</v>
      </c>
      <c r="D475" s="6">
        <v>177</v>
      </c>
      <c r="E475" s="6">
        <v>164</v>
      </c>
      <c r="F475" s="6"/>
      <c r="G475" s="6"/>
      <c r="H475" s="6">
        <v>179</v>
      </c>
      <c r="I475" s="6">
        <v>186</v>
      </c>
      <c r="J475" s="3">
        <f t="shared" si="8"/>
        <v>706</v>
      </c>
      <c r="L475" s="6" t="s">
        <v>4</v>
      </c>
      <c r="M475" s="7">
        <f>SUM(E474:E481)</f>
        <v>874</v>
      </c>
      <c r="O475" s="8"/>
      <c r="P475" s="7"/>
    </row>
    <row r="476" spans="1:16">
      <c r="A476" s="6" t="s">
        <v>713</v>
      </c>
      <c r="B476" s="6" t="s">
        <v>669</v>
      </c>
      <c r="C476" s="6" t="s">
        <v>715</v>
      </c>
      <c r="D476" s="6">
        <v>172</v>
      </c>
      <c r="E476" s="6">
        <v>189</v>
      </c>
      <c r="F476" s="6">
        <v>186</v>
      </c>
      <c r="G476" s="6">
        <v>215</v>
      </c>
      <c r="H476" s="6">
        <v>176</v>
      </c>
      <c r="I476" s="6">
        <v>165</v>
      </c>
      <c r="J476" s="3">
        <f t="shared" si="8"/>
        <v>1103</v>
      </c>
      <c r="L476" s="6" t="s">
        <v>5</v>
      </c>
      <c r="M476" s="7">
        <f>SUM(F474:F481)</f>
        <v>972</v>
      </c>
      <c r="O476" s="8"/>
      <c r="P476" s="7"/>
    </row>
    <row r="477" spans="1:16">
      <c r="A477" s="6" t="s">
        <v>713</v>
      </c>
      <c r="B477" s="6" t="s">
        <v>105</v>
      </c>
      <c r="C477" s="6" t="s">
        <v>716</v>
      </c>
      <c r="D477" s="6"/>
      <c r="E477" s="6"/>
      <c r="F477" s="6">
        <v>173</v>
      </c>
      <c r="G477" s="6"/>
      <c r="H477" s="6"/>
      <c r="I477" s="6"/>
      <c r="J477" s="3">
        <f t="shared" si="8"/>
        <v>173</v>
      </c>
      <c r="L477" s="6" t="s">
        <v>6</v>
      </c>
      <c r="M477" s="7">
        <f>SUM(G474:G481)</f>
        <v>924</v>
      </c>
      <c r="O477" s="8"/>
      <c r="P477" s="7"/>
    </row>
    <row r="478" spans="1:16">
      <c r="A478" s="6" t="s">
        <v>713</v>
      </c>
      <c r="B478" s="6" t="s">
        <v>424</v>
      </c>
      <c r="C478" s="6" t="s">
        <v>717</v>
      </c>
      <c r="D478" s="6">
        <v>176</v>
      </c>
      <c r="E478" s="6"/>
      <c r="F478" s="6">
        <v>186</v>
      </c>
      <c r="G478" s="6">
        <v>169</v>
      </c>
      <c r="H478" s="6">
        <v>191</v>
      </c>
      <c r="I478" s="6">
        <v>175</v>
      </c>
      <c r="J478" s="3">
        <f t="shared" si="8"/>
        <v>897</v>
      </c>
      <c r="L478" s="6" t="s">
        <v>7</v>
      </c>
      <c r="M478" s="7">
        <f>SUM(H474:H481)</f>
        <v>940</v>
      </c>
      <c r="O478" s="8"/>
      <c r="P478" s="7"/>
    </row>
    <row r="479" spans="1:16">
      <c r="A479" s="6" t="s">
        <v>713</v>
      </c>
      <c r="B479" s="6" t="s">
        <v>718</v>
      </c>
      <c r="C479" s="6" t="s">
        <v>137</v>
      </c>
      <c r="D479" s="6"/>
      <c r="E479" s="6">
        <v>200</v>
      </c>
      <c r="F479" s="6"/>
      <c r="G479" s="6"/>
      <c r="H479" s="6"/>
      <c r="I479" s="6"/>
      <c r="J479" s="3">
        <f t="shared" si="8"/>
        <v>200</v>
      </c>
      <c r="L479" s="6" t="s">
        <v>8</v>
      </c>
      <c r="M479" s="7">
        <f>SUM(I474:I481)</f>
        <v>930</v>
      </c>
      <c r="O479" s="8"/>
      <c r="P479" s="7"/>
    </row>
    <row r="480" spans="1:16">
      <c r="A480" s="6" t="s">
        <v>713</v>
      </c>
      <c r="B480" s="6" t="s">
        <v>500</v>
      </c>
      <c r="C480" s="6" t="s">
        <v>719</v>
      </c>
      <c r="D480" s="6">
        <v>210</v>
      </c>
      <c r="E480" s="6">
        <v>154</v>
      </c>
      <c r="F480" s="6"/>
      <c r="G480" s="6">
        <v>139</v>
      </c>
      <c r="H480" s="6"/>
      <c r="I480" s="6"/>
      <c r="J480" s="3">
        <f t="shared" si="8"/>
        <v>503</v>
      </c>
      <c r="L480" s="6"/>
      <c r="M480" s="7"/>
      <c r="O480" s="8"/>
      <c r="P480" s="7"/>
    </row>
    <row r="481" spans="1:16">
      <c r="A481" s="6" t="s">
        <v>713</v>
      </c>
      <c r="B481" s="6" t="s">
        <v>615</v>
      </c>
      <c r="C481" s="6" t="s">
        <v>58</v>
      </c>
      <c r="D481" s="6"/>
      <c r="E481" s="6"/>
      <c r="F481" s="6">
        <v>214</v>
      </c>
      <c r="G481" s="6">
        <v>208</v>
      </c>
      <c r="H481" s="6">
        <v>181</v>
      </c>
      <c r="I481" s="6">
        <v>209</v>
      </c>
      <c r="J481" s="3">
        <f t="shared" si="8"/>
        <v>812</v>
      </c>
      <c r="L481" s="6"/>
      <c r="M481" s="7"/>
      <c r="O481" s="8"/>
      <c r="P481" s="7"/>
    </row>
    <row r="482" spans="1:16">
      <c r="A482" s="2" t="s">
        <v>720</v>
      </c>
      <c r="B482" s="2"/>
      <c r="C482" s="2"/>
      <c r="D482" s="2"/>
      <c r="E482" s="2"/>
      <c r="F482" s="2"/>
      <c r="G482" s="2"/>
      <c r="H482" s="2"/>
      <c r="I482" s="2"/>
      <c r="J482" s="3">
        <f t="shared" si="8"/>
        <v>0</v>
      </c>
      <c r="L482" s="2" t="s">
        <v>3</v>
      </c>
      <c r="M482" s="3">
        <f>SUM(D482:D489)</f>
        <v>834</v>
      </c>
      <c r="O482" s="4" t="str">
        <f>A482</f>
        <v>Siena Heights</v>
      </c>
      <c r="P482" s="3">
        <f>SUM(M482:M487)</f>
        <v>5435</v>
      </c>
    </row>
    <row r="483" spans="1:16">
      <c r="A483" s="2" t="s">
        <v>720</v>
      </c>
      <c r="B483" s="2" t="s">
        <v>150</v>
      </c>
      <c r="C483" s="2" t="s">
        <v>721</v>
      </c>
      <c r="D483" s="2">
        <v>180</v>
      </c>
      <c r="E483" s="2">
        <v>175</v>
      </c>
      <c r="F483" s="2">
        <v>134</v>
      </c>
      <c r="G483" s="2">
        <v>185</v>
      </c>
      <c r="H483" s="2">
        <v>201</v>
      </c>
      <c r="I483" s="2">
        <v>140</v>
      </c>
      <c r="J483" s="3">
        <f t="shared" ref="J483:J546" si="9">SUM(D483:I483)</f>
        <v>1015</v>
      </c>
      <c r="L483" s="2" t="s">
        <v>4</v>
      </c>
      <c r="M483" s="3">
        <f>SUM(E482:E489)</f>
        <v>920</v>
      </c>
      <c r="O483" s="4"/>
      <c r="P483" s="3"/>
    </row>
    <row r="484" spans="1:16">
      <c r="A484" s="2" t="s">
        <v>720</v>
      </c>
      <c r="B484" s="2" t="s">
        <v>722</v>
      </c>
      <c r="C484" s="2" t="s">
        <v>723</v>
      </c>
      <c r="D484" s="2">
        <v>181</v>
      </c>
      <c r="E484" s="2">
        <v>193</v>
      </c>
      <c r="F484" s="2">
        <v>146</v>
      </c>
      <c r="G484" s="2">
        <v>199</v>
      </c>
      <c r="H484" s="2">
        <v>225</v>
      </c>
      <c r="I484" s="2">
        <v>171</v>
      </c>
      <c r="J484" s="3">
        <f t="shared" si="9"/>
        <v>1115</v>
      </c>
      <c r="L484" s="2" t="s">
        <v>5</v>
      </c>
      <c r="M484" s="3">
        <f>SUM(F482:F489)</f>
        <v>882</v>
      </c>
      <c r="O484" s="4"/>
      <c r="P484" s="3"/>
    </row>
    <row r="485" spans="1:16">
      <c r="A485" s="2" t="s">
        <v>720</v>
      </c>
      <c r="B485" s="2" t="s">
        <v>36</v>
      </c>
      <c r="C485" s="2" t="s">
        <v>724</v>
      </c>
      <c r="D485" s="2"/>
      <c r="E485" s="2"/>
      <c r="F485" s="2"/>
      <c r="G485" s="2"/>
      <c r="H485" s="2">
        <v>171</v>
      </c>
      <c r="I485" s="2">
        <v>159</v>
      </c>
      <c r="J485" s="3">
        <f t="shared" si="9"/>
        <v>330</v>
      </c>
      <c r="L485" s="2" t="s">
        <v>6</v>
      </c>
      <c r="M485" s="3">
        <f>SUM(G482:G489)</f>
        <v>847</v>
      </c>
      <c r="O485" s="4"/>
      <c r="P485" s="3"/>
    </row>
    <row r="486" spans="1:16">
      <c r="A486" s="2" t="s">
        <v>720</v>
      </c>
      <c r="B486" s="2" t="s">
        <v>322</v>
      </c>
      <c r="C486" s="2" t="s">
        <v>725</v>
      </c>
      <c r="D486" s="2"/>
      <c r="E486" s="2"/>
      <c r="F486" s="2"/>
      <c r="G486" s="2"/>
      <c r="H486" s="2"/>
      <c r="I486" s="2"/>
      <c r="J486" s="3">
        <f t="shared" si="9"/>
        <v>0</v>
      </c>
      <c r="L486" s="2" t="s">
        <v>7</v>
      </c>
      <c r="M486" s="3">
        <f>SUM(H482:H489)</f>
        <v>1064</v>
      </c>
      <c r="O486" s="4"/>
      <c r="P486" s="3"/>
    </row>
    <row r="487" spans="1:16">
      <c r="A487" s="2" t="s">
        <v>720</v>
      </c>
      <c r="B487" s="2" t="s">
        <v>349</v>
      </c>
      <c r="C487" s="2" t="s">
        <v>726</v>
      </c>
      <c r="D487" s="2">
        <v>173</v>
      </c>
      <c r="E487" s="2">
        <v>156</v>
      </c>
      <c r="F487" s="2">
        <v>157</v>
      </c>
      <c r="G487" s="2">
        <v>174</v>
      </c>
      <c r="H487" s="2">
        <v>246</v>
      </c>
      <c r="I487" s="2">
        <v>225</v>
      </c>
      <c r="J487" s="3">
        <f t="shared" si="9"/>
        <v>1131</v>
      </c>
      <c r="L487" s="2" t="s">
        <v>8</v>
      </c>
      <c r="M487" s="3">
        <f>SUM(I482:I489)</f>
        <v>888</v>
      </c>
      <c r="O487" s="4"/>
      <c r="P487" s="3"/>
    </row>
    <row r="488" spans="1:16">
      <c r="A488" s="2" t="s">
        <v>720</v>
      </c>
      <c r="B488" s="2" t="s">
        <v>83</v>
      </c>
      <c r="C488" s="2" t="s">
        <v>727</v>
      </c>
      <c r="D488" s="2">
        <v>154</v>
      </c>
      <c r="E488" s="2">
        <v>201</v>
      </c>
      <c r="F488" s="2">
        <v>267</v>
      </c>
      <c r="G488" s="2">
        <v>135</v>
      </c>
      <c r="H488" s="2">
        <v>221</v>
      </c>
      <c r="I488" s="2">
        <v>193</v>
      </c>
      <c r="J488" s="3">
        <f t="shared" si="9"/>
        <v>1171</v>
      </c>
      <c r="L488" s="3"/>
      <c r="M488" s="3"/>
      <c r="O488" s="4"/>
      <c r="P488" s="3"/>
    </row>
    <row r="489" spans="1:16">
      <c r="A489" s="2" t="s">
        <v>720</v>
      </c>
      <c r="B489" s="2" t="s">
        <v>141</v>
      </c>
      <c r="C489" s="2" t="s">
        <v>728</v>
      </c>
      <c r="D489" s="2">
        <v>146</v>
      </c>
      <c r="E489" s="2">
        <v>195</v>
      </c>
      <c r="F489" s="2">
        <v>178</v>
      </c>
      <c r="G489" s="2">
        <v>154</v>
      </c>
      <c r="H489" s="2"/>
      <c r="I489" s="2"/>
      <c r="J489" s="3">
        <f t="shared" si="9"/>
        <v>673</v>
      </c>
      <c r="L489" s="2"/>
      <c r="M489" s="3"/>
      <c r="O489" s="4"/>
      <c r="P489" s="3"/>
    </row>
    <row r="490" spans="1:16">
      <c r="A490" s="6" t="s">
        <v>729</v>
      </c>
      <c r="B490" s="6" t="s">
        <v>467</v>
      </c>
      <c r="C490" s="6" t="s">
        <v>730</v>
      </c>
      <c r="D490" s="6">
        <v>209</v>
      </c>
      <c r="E490" s="6">
        <v>260</v>
      </c>
      <c r="F490" s="6">
        <v>190</v>
      </c>
      <c r="G490" s="6">
        <v>156</v>
      </c>
      <c r="H490" s="6"/>
      <c r="I490" s="6"/>
      <c r="J490" s="3">
        <f t="shared" si="9"/>
        <v>815</v>
      </c>
      <c r="L490" s="6" t="s">
        <v>3</v>
      </c>
      <c r="M490" s="7">
        <f>SUM(D490:D497)</f>
        <v>962</v>
      </c>
      <c r="O490" s="8" t="str">
        <f>A490</f>
        <v>St. Ambrose</v>
      </c>
      <c r="P490" s="7">
        <f>SUM(M490:M495)</f>
        <v>5699</v>
      </c>
    </row>
    <row r="491" spans="1:16">
      <c r="A491" s="6" t="s">
        <v>729</v>
      </c>
      <c r="B491" s="6" t="s">
        <v>99</v>
      </c>
      <c r="C491" s="6" t="s">
        <v>731</v>
      </c>
      <c r="D491" s="6">
        <v>232</v>
      </c>
      <c r="E491" s="6">
        <v>206</v>
      </c>
      <c r="F491" s="6">
        <v>171</v>
      </c>
      <c r="G491" s="6"/>
      <c r="H491" s="6"/>
      <c r="I491" s="6">
        <v>190</v>
      </c>
      <c r="J491" s="3">
        <f t="shared" si="9"/>
        <v>799</v>
      </c>
      <c r="L491" s="6" t="s">
        <v>4</v>
      </c>
      <c r="M491" s="7">
        <f>SUM(E490:E497)</f>
        <v>982</v>
      </c>
      <c r="O491" s="8"/>
      <c r="P491" s="7"/>
    </row>
    <row r="492" spans="1:16">
      <c r="A492" s="6" t="s">
        <v>729</v>
      </c>
      <c r="B492" s="6" t="s">
        <v>569</v>
      </c>
      <c r="C492" s="6" t="s">
        <v>732</v>
      </c>
      <c r="D492" s="6"/>
      <c r="E492" s="6">
        <v>190</v>
      </c>
      <c r="F492" s="6">
        <v>174</v>
      </c>
      <c r="G492" s="6"/>
      <c r="H492" s="6">
        <v>183</v>
      </c>
      <c r="I492" s="6">
        <v>190</v>
      </c>
      <c r="J492" s="3">
        <f t="shared" si="9"/>
        <v>737</v>
      </c>
      <c r="L492" s="6" t="s">
        <v>5</v>
      </c>
      <c r="M492" s="7">
        <f>SUM(F490:F497)</f>
        <v>923</v>
      </c>
      <c r="O492" s="8"/>
      <c r="P492" s="7"/>
    </row>
    <row r="493" spans="1:16">
      <c r="A493" s="6" t="s">
        <v>729</v>
      </c>
      <c r="B493" s="6" t="s">
        <v>355</v>
      </c>
      <c r="C493" s="6" t="s">
        <v>733</v>
      </c>
      <c r="D493" s="6"/>
      <c r="E493" s="6"/>
      <c r="F493" s="6"/>
      <c r="G493" s="6">
        <v>195</v>
      </c>
      <c r="H493" s="6">
        <v>155</v>
      </c>
      <c r="I493" s="6"/>
      <c r="J493" s="3">
        <f t="shared" si="9"/>
        <v>350</v>
      </c>
      <c r="L493" s="6" t="s">
        <v>6</v>
      </c>
      <c r="M493" s="7">
        <f>SUM(G490:G497)</f>
        <v>916</v>
      </c>
      <c r="O493" s="8"/>
      <c r="P493" s="7"/>
    </row>
    <row r="494" spans="1:16">
      <c r="A494" s="6" t="s">
        <v>729</v>
      </c>
      <c r="B494" s="6" t="s">
        <v>734</v>
      </c>
      <c r="C494" s="6" t="s">
        <v>735</v>
      </c>
      <c r="D494" s="6">
        <v>183</v>
      </c>
      <c r="E494" s="6">
        <v>135</v>
      </c>
      <c r="F494" s="6"/>
      <c r="G494" s="6">
        <v>215</v>
      </c>
      <c r="H494" s="6">
        <v>220</v>
      </c>
      <c r="I494" s="6">
        <v>150</v>
      </c>
      <c r="J494" s="3">
        <f t="shared" si="9"/>
        <v>903</v>
      </c>
      <c r="L494" s="6" t="s">
        <v>7</v>
      </c>
      <c r="M494" s="7">
        <f>SUM(H490:H497)</f>
        <v>977</v>
      </c>
      <c r="O494" s="8"/>
      <c r="P494" s="7"/>
    </row>
    <row r="495" spans="1:16">
      <c r="A495" s="6" t="s">
        <v>729</v>
      </c>
      <c r="B495" s="6" t="s">
        <v>736</v>
      </c>
      <c r="C495" s="6" t="s">
        <v>737</v>
      </c>
      <c r="D495" s="6"/>
      <c r="E495" s="6"/>
      <c r="F495" s="6">
        <v>157</v>
      </c>
      <c r="G495" s="6"/>
      <c r="H495" s="6"/>
      <c r="I495" s="6"/>
      <c r="J495" s="3">
        <f t="shared" si="9"/>
        <v>157</v>
      </c>
      <c r="L495" s="6" t="s">
        <v>8</v>
      </c>
      <c r="M495" s="7">
        <f>SUM(I490:I497)</f>
        <v>939</v>
      </c>
      <c r="O495" s="8"/>
      <c r="P495" s="7"/>
    </row>
    <row r="496" spans="1:16">
      <c r="A496" s="6" t="s">
        <v>729</v>
      </c>
      <c r="B496" s="6" t="s">
        <v>89</v>
      </c>
      <c r="C496" s="6" t="s">
        <v>738</v>
      </c>
      <c r="D496" s="6">
        <v>167</v>
      </c>
      <c r="E496" s="6"/>
      <c r="F496" s="6"/>
      <c r="G496" s="6">
        <v>175</v>
      </c>
      <c r="H496" s="6">
        <v>215</v>
      </c>
      <c r="I496" s="6">
        <v>205</v>
      </c>
      <c r="J496" s="3">
        <f t="shared" si="9"/>
        <v>762</v>
      </c>
      <c r="L496" s="6"/>
      <c r="M496" s="7"/>
      <c r="O496" s="8"/>
      <c r="P496" s="7"/>
    </row>
    <row r="497" spans="1:16">
      <c r="A497" s="6" t="s">
        <v>729</v>
      </c>
      <c r="B497" s="6" t="s">
        <v>739</v>
      </c>
      <c r="C497" s="6" t="s">
        <v>740</v>
      </c>
      <c r="D497" s="6">
        <v>171</v>
      </c>
      <c r="E497" s="6">
        <v>191</v>
      </c>
      <c r="F497" s="6">
        <v>231</v>
      </c>
      <c r="G497" s="6">
        <v>175</v>
      </c>
      <c r="H497" s="6">
        <v>204</v>
      </c>
      <c r="I497" s="6">
        <v>204</v>
      </c>
      <c r="J497" s="3">
        <f t="shared" si="9"/>
        <v>1176</v>
      </c>
      <c r="L497" s="6"/>
      <c r="M497" s="7"/>
      <c r="O497" s="8"/>
      <c r="P497" s="7"/>
    </row>
    <row r="498" spans="1:16">
      <c r="A498" s="2" t="s">
        <v>741</v>
      </c>
      <c r="B498" s="2" t="s">
        <v>206</v>
      </c>
      <c r="C498" s="2" t="s">
        <v>742</v>
      </c>
      <c r="D498" s="2">
        <v>168</v>
      </c>
      <c r="E498" s="2">
        <v>201</v>
      </c>
      <c r="F498" s="2">
        <v>142</v>
      </c>
      <c r="G498" s="2"/>
      <c r="H498" s="2"/>
      <c r="I498" s="2">
        <v>134</v>
      </c>
      <c r="J498" s="3">
        <f t="shared" si="9"/>
        <v>645</v>
      </c>
      <c r="L498" s="2" t="s">
        <v>3</v>
      </c>
      <c r="M498" s="3">
        <f>SUM(D498:D505)</f>
        <v>760</v>
      </c>
      <c r="O498" s="4" t="str">
        <f>A498</f>
        <v>Culver - Stockton College</v>
      </c>
      <c r="P498" s="3">
        <f>SUM(M498:M503)</f>
        <v>4903</v>
      </c>
    </row>
    <row r="499" spans="1:16">
      <c r="A499" s="2" t="s">
        <v>741</v>
      </c>
      <c r="B499" s="2" t="s">
        <v>569</v>
      </c>
      <c r="C499" s="2" t="s">
        <v>743</v>
      </c>
      <c r="D499" s="2">
        <v>141</v>
      </c>
      <c r="E499" s="2">
        <v>133</v>
      </c>
      <c r="F499" s="2"/>
      <c r="G499" s="2"/>
      <c r="H499" s="2"/>
      <c r="I499" s="2"/>
      <c r="J499" s="3">
        <f t="shared" si="9"/>
        <v>274</v>
      </c>
      <c r="L499" s="2" t="s">
        <v>4</v>
      </c>
      <c r="M499" s="3">
        <f>SUM(E498:E505)</f>
        <v>854</v>
      </c>
      <c r="O499" s="4"/>
      <c r="P499" s="3"/>
    </row>
    <row r="500" spans="1:16">
      <c r="A500" s="2" t="s">
        <v>741</v>
      </c>
      <c r="B500" s="2" t="s">
        <v>116</v>
      </c>
      <c r="C500" s="2" t="s">
        <v>744</v>
      </c>
      <c r="D500" s="2">
        <v>172</v>
      </c>
      <c r="E500" s="2">
        <v>211</v>
      </c>
      <c r="F500" s="2">
        <v>172</v>
      </c>
      <c r="G500" s="2">
        <v>180</v>
      </c>
      <c r="H500" s="2">
        <v>171</v>
      </c>
      <c r="I500" s="2">
        <v>168</v>
      </c>
      <c r="J500" s="3">
        <f t="shared" si="9"/>
        <v>1074</v>
      </c>
      <c r="L500" s="2" t="s">
        <v>5</v>
      </c>
      <c r="M500" s="3">
        <f>SUM(F498:F505)</f>
        <v>804</v>
      </c>
      <c r="O500" s="4"/>
      <c r="P500" s="3"/>
    </row>
    <row r="501" spans="1:16">
      <c r="A501" s="2" t="s">
        <v>741</v>
      </c>
      <c r="B501" s="2" t="s">
        <v>745</v>
      </c>
      <c r="C501" s="2" t="s">
        <v>746</v>
      </c>
      <c r="D501" s="2">
        <v>144</v>
      </c>
      <c r="E501" s="2">
        <v>141</v>
      </c>
      <c r="F501" s="2"/>
      <c r="G501" s="2"/>
      <c r="H501" s="2">
        <v>156</v>
      </c>
      <c r="I501" s="2">
        <v>215</v>
      </c>
      <c r="J501" s="3">
        <f t="shared" si="9"/>
        <v>656</v>
      </c>
      <c r="L501" s="2" t="s">
        <v>6</v>
      </c>
      <c r="M501" s="3">
        <f>SUM(G498:G505)</f>
        <v>837</v>
      </c>
      <c r="O501" s="4"/>
      <c r="P501" s="3"/>
    </row>
    <row r="502" spans="1:16">
      <c r="A502" s="2" t="s">
        <v>741</v>
      </c>
      <c r="B502" s="2" t="s">
        <v>75</v>
      </c>
      <c r="C502" s="2" t="s">
        <v>255</v>
      </c>
      <c r="D502" s="2"/>
      <c r="E502" s="2"/>
      <c r="F502" s="2">
        <v>168</v>
      </c>
      <c r="G502" s="2">
        <v>170</v>
      </c>
      <c r="H502" s="2">
        <v>133</v>
      </c>
      <c r="I502" s="2"/>
      <c r="J502" s="3">
        <f t="shared" si="9"/>
        <v>471</v>
      </c>
      <c r="L502" s="2" t="s">
        <v>7</v>
      </c>
      <c r="M502" s="3">
        <f>SUM(H498:H505)</f>
        <v>784</v>
      </c>
      <c r="O502" s="4"/>
      <c r="P502" s="3"/>
    </row>
    <row r="503" spans="1:16">
      <c r="A503" s="2" t="s">
        <v>741</v>
      </c>
      <c r="B503" s="2" t="s">
        <v>286</v>
      </c>
      <c r="C503" s="2" t="s">
        <v>747</v>
      </c>
      <c r="D503" s="2">
        <v>135</v>
      </c>
      <c r="E503" s="2">
        <v>168</v>
      </c>
      <c r="F503" s="2">
        <v>144</v>
      </c>
      <c r="G503" s="2">
        <v>192</v>
      </c>
      <c r="H503" s="2">
        <v>137</v>
      </c>
      <c r="I503" s="2">
        <v>199</v>
      </c>
      <c r="J503" s="3">
        <f t="shared" si="9"/>
        <v>975</v>
      </c>
      <c r="L503" s="2" t="s">
        <v>8</v>
      </c>
      <c r="M503" s="3">
        <f>SUM(I498:I505)</f>
        <v>864</v>
      </c>
      <c r="O503" s="4"/>
      <c r="P503" s="3"/>
    </row>
    <row r="504" spans="1:16">
      <c r="A504" s="2" t="s">
        <v>741</v>
      </c>
      <c r="B504" s="2" t="s">
        <v>748</v>
      </c>
      <c r="C504" s="2" t="s">
        <v>749</v>
      </c>
      <c r="D504" s="2"/>
      <c r="E504" s="2"/>
      <c r="F504" s="2">
        <v>178</v>
      </c>
      <c r="G504" s="2">
        <v>167</v>
      </c>
      <c r="H504" s="2">
        <v>187</v>
      </c>
      <c r="I504" s="2">
        <v>148</v>
      </c>
      <c r="J504" s="3">
        <f t="shared" si="9"/>
        <v>680</v>
      </c>
      <c r="L504" s="3"/>
      <c r="M504" s="3"/>
      <c r="O504" s="4"/>
      <c r="P504" s="3"/>
    </row>
    <row r="505" spans="1:16">
      <c r="A505" s="2" t="s">
        <v>741</v>
      </c>
      <c r="B505" s="2" t="s">
        <v>97</v>
      </c>
      <c r="C505" s="2" t="s">
        <v>750</v>
      </c>
      <c r="D505" s="2"/>
      <c r="E505" s="2"/>
      <c r="F505" s="2"/>
      <c r="G505" s="2">
        <v>128</v>
      </c>
      <c r="H505" s="2"/>
      <c r="I505" s="2"/>
      <c r="J505" s="3">
        <f t="shared" si="9"/>
        <v>128</v>
      </c>
      <c r="L505" s="2"/>
      <c r="M505" s="3"/>
      <c r="O505" s="4"/>
      <c r="P505" s="3"/>
    </row>
    <row r="506" spans="1:16">
      <c r="A506" s="6" t="s">
        <v>751</v>
      </c>
      <c r="B506" s="6" t="s">
        <v>752</v>
      </c>
      <c r="C506" s="6" t="s">
        <v>753</v>
      </c>
      <c r="D506" s="6"/>
      <c r="E506" s="6">
        <v>128</v>
      </c>
      <c r="F506" s="6"/>
      <c r="G506" s="6"/>
      <c r="H506" s="6"/>
      <c r="I506" s="6">
        <v>158</v>
      </c>
      <c r="J506" s="3">
        <f t="shared" si="9"/>
        <v>286</v>
      </c>
      <c r="L506" s="6" t="s">
        <v>3</v>
      </c>
      <c r="M506" s="7">
        <f>SUM(D506:D513)</f>
        <v>932</v>
      </c>
      <c r="O506" s="8" t="str">
        <f>A506</f>
        <v>Illinois State</v>
      </c>
      <c r="P506" s="7">
        <f>SUM(M506:M511)</f>
        <v>5471</v>
      </c>
    </row>
    <row r="507" spans="1:16">
      <c r="A507" s="6" t="s">
        <v>751</v>
      </c>
      <c r="B507" s="6" t="s">
        <v>754</v>
      </c>
      <c r="C507" s="6" t="s">
        <v>755</v>
      </c>
      <c r="D507" s="6">
        <v>224</v>
      </c>
      <c r="E507" s="6">
        <v>224</v>
      </c>
      <c r="F507" s="6">
        <v>225</v>
      </c>
      <c r="G507" s="6">
        <v>234</v>
      </c>
      <c r="H507" s="6">
        <v>165</v>
      </c>
      <c r="I507" s="6">
        <v>178</v>
      </c>
      <c r="J507" s="3">
        <f t="shared" si="9"/>
        <v>1250</v>
      </c>
      <c r="L507" s="6" t="s">
        <v>4</v>
      </c>
      <c r="M507" s="7">
        <f>SUM(E506:E513)</f>
        <v>869</v>
      </c>
      <c r="O507" s="8"/>
      <c r="P507" s="7"/>
    </row>
    <row r="508" spans="1:16">
      <c r="A508" s="6" t="s">
        <v>751</v>
      </c>
      <c r="B508" s="6" t="s">
        <v>30</v>
      </c>
      <c r="C508" s="6" t="s">
        <v>756</v>
      </c>
      <c r="D508" s="6">
        <v>176</v>
      </c>
      <c r="E508" s="6"/>
      <c r="F508" s="6">
        <v>201</v>
      </c>
      <c r="G508" s="6">
        <v>173</v>
      </c>
      <c r="H508" s="6">
        <v>176</v>
      </c>
      <c r="I508" s="6">
        <v>198</v>
      </c>
      <c r="J508" s="3">
        <f t="shared" si="9"/>
        <v>924</v>
      </c>
      <c r="L508" s="6" t="s">
        <v>5</v>
      </c>
      <c r="M508" s="7">
        <f>SUM(F506:F513)</f>
        <v>968</v>
      </c>
      <c r="O508" s="8"/>
      <c r="P508" s="7"/>
    </row>
    <row r="509" spans="1:16">
      <c r="A509" s="6" t="s">
        <v>751</v>
      </c>
      <c r="B509" s="6" t="s">
        <v>344</v>
      </c>
      <c r="C509" s="6" t="s">
        <v>757</v>
      </c>
      <c r="D509" s="6">
        <v>138</v>
      </c>
      <c r="E509" s="6"/>
      <c r="F509" s="6">
        <v>199</v>
      </c>
      <c r="G509" s="6">
        <v>179</v>
      </c>
      <c r="H509" s="6">
        <v>139</v>
      </c>
      <c r="I509" s="6"/>
      <c r="J509" s="3">
        <f t="shared" si="9"/>
        <v>655</v>
      </c>
      <c r="L509" s="6" t="s">
        <v>6</v>
      </c>
      <c r="M509" s="7">
        <f>SUM(G506:G513)</f>
        <v>983</v>
      </c>
      <c r="O509" s="8"/>
      <c r="P509" s="7"/>
    </row>
    <row r="510" spans="1:16">
      <c r="A510" s="6" t="s">
        <v>751</v>
      </c>
      <c r="B510" s="6" t="s">
        <v>344</v>
      </c>
      <c r="C510" s="6" t="s">
        <v>427</v>
      </c>
      <c r="D510" s="6">
        <v>194</v>
      </c>
      <c r="E510" s="6">
        <v>181</v>
      </c>
      <c r="F510" s="6">
        <v>168</v>
      </c>
      <c r="G510" s="6">
        <v>208</v>
      </c>
      <c r="H510" s="6">
        <v>161</v>
      </c>
      <c r="I510" s="6">
        <v>192</v>
      </c>
      <c r="J510" s="3">
        <f t="shared" si="9"/>
        <v>1104</v>
      </c>
      <c r="L510" s="6" t="s">
        <v>7</v>
      </c>
      <c r="M510" s="7">
        <f>SUM(H506:H513)</f>
        <v>828</v>
      </c>
      <c r="O510" s="8"/>
      <c r="P510" s="7"/>
    </row>
    <row r="511" spans="1:16">
      <c r="A511" s="6" t="s">
        <v>751</v>
      </c>
      <c r="B511" s="6" t="s">
        <v>313</v>
      </c>
      <c r="C511" s="6" t="s">
        <v>758</v>
      </c>
      <c r="D511" s="6">
        <v>200</v>
      </c>
      <c r="E511" s="6">
        <v>186</v>
      </c>
      <c r="F511" s="6">
        <v>175</v>
      </c>
      <c r="G511" s="6">
        <v>189</v>
      </c>
      <c r="H511" s="6">
        <v>187</v>
      </c>
      <c r="I511" s="6">
        <v>165</v>
      </c>
      <c r="J511" s="3">
        <f t="shared" si="9"/>
        <v>1102</v>
      </c>
      <c r="L511" s="6" t="s">
        <v>8</v>
      </c>
      <c r="M511" s="7">
        <f>SUM(I506:I513)</f>
        <v>891</v>
      </c>
      <c r="O511" s="8"/>
      <c r="P511" s="7"/>
    </row>
    <row r="512" spans="1:16">
      <c r="A512" s="6" t="s">
        <v>751</v>
      </c>
      <c r="B512" s="6" t="s">
        <v>759</v>
      </c>
      <c r="C512" s="6" t="s">
        <v>760</v>
      </c>
      <c r="D512" s="6"/>
      <c r="E512" s="6"/>
      <c r="F512" s="6"/>
      <c r="G512" s="6"/>
      <c r="H512" s="6"/>
      <c r="I512" s="6"/>
      <c r="J512" s="3">
        <f t="shared" si="9"/>
        <v>0</v>
      </c>
      <c r="L512" s="6"/>
      <c r="M512" s="7"/>
      <c r="O512" s="8"/>
      <c r="P512" s="7"/>
    </row>
    <row r="513" spans="1:16">
      <c r="A513" s="6" t="s">
        <v>751</v>
      </c>
      <c r="B513" s="6" t="s">
        <v>761</v>
      </c>
      <c r="C513" s="6" t="s">
        <v>762</v>
      </c>
      <c r="D513" s="6"/>
      <c r="E513" s="6">
        <v>150</v>
      </c>
      <c r="F513" s="6"/>
      <c r="G513" s="6"/>
      <c r="H513" s="6"/>
      <c r="I513" s="6"/>
      <c r="J513" s="3">
        <f t="shared" si="9"/>
        <v>150</v>
      </c>
      <c r="L513" s="6"/>
      <c r="M513" s="7"/>
      <c r="O513" s="8"/>
      <c r="P513" s="7"/>
    </row>
    <row r="514" spans="1:16">
      <c r="A514" s="2" t="s">
        <v>763</v>
      </c>
      <c r="B514" s="2" t="s">
        <v>752</v>
      </c>
      <c r="C514" s="2" t="s">
        <v>764</v>
      </c>
      <c r="D514" s="2">
        <v>203</v>
      </c>
      <c r="E514" s="2">
        <v>189</v>
      </c>
      <c r="F514" s="2">
        <v>127</v>
      </c>
      <c r="G514" s="2"/>
      <c r="H514" s="2"/>
      <c r="I514" s="2"/>
      <c r="J514" s="3">
        <f t="shared" si="9"/>
        <v>519</v>
      </c>
      <c r="L514" s="2" t="s">
        <v>3</v>
      </c>
      <c r="M514" s="3">
        <f>SUM(D514:D521)</f>
        <v>988</v>
      </c>
      <c r="O514" s="4" t="str">
        <f>A514</f>
        <v>Midland</v>
      </c>
      <c r="P514" s="3">
        <f>SUM(M514:M519)</f>
        <v>6092</v>
      </c>
    </row>
    <row r="515" spans="1:16">
      <c r="A515" s="2" t="s">
        <v>763</v>
      </c>
      <c r="B515" s="2" t="s">
        <v>658</v>
      </c>
      <c r="C515" s="2" t="s">
        <v>765</v>
      </c>
      <c r="D515" s="2">
        <v>184</v>
      </c>
      <c r="E515" s="2">
        <v>155</v>
      </c>
      <c r="F515" s="2">
        <v>200</v>
      </c>
      <c r="G515" s="2">
        <v>190</v>
      </c>
      <c r="H515" s="2">
        <v>226</v>
      </c>
      <c r="I515" s="2">
        <v>215</v>
      </c>
      <c r="J515" s="3">
        <f t="shared" si="9"/>
        <v>1170</v>
      </c>
      <c r="L515" s="2" t="s">
        <v>4</v>
      </c>
      <c r="M515" s="3">
        <f>SUM(E514:E521)</f>
        <v>1007</v>
      </c>
      <c r="O515" s="4"/>
      <c r="P515" s="3"/>
    </row>
    <row r="516" spans="1:16">
      <c r="A516" s="2" t="s">
        <v>763</v>
      </c>
      <c r="B516" s="2" t="s">
        <v>130</v>
      </c>
      <c r="C516" s="2" t="s">
        <v>766</v>
      </c>
      <c r="D516" s="2">
        <v>194</v>
      </c>
      <c r="E516" s="2">
        <v>236</v>
      </c>
      <c r="F516" s="2">
        <v>189</v>
      </c>
      <c r="G516" s="2">
        <v>194</v>
      </c>
      <c r="H516" s="2">
        <v>192</v>
      </c>
      <c r="I516" s="2">
        <v>267</v>
      </c>
      <c r="J516" s="3">
        <f t="shared" si="9"/>
        <v>1272</v>
      </c>
      <c r="L516" s="2" t="s">
        <v>5</v>
      </c>
      <c r="M516" s="3">
        <f>SUM(F514:F521)</f>
        <v>898</v>
      </c>
      <c r="O516" s="4"/>
      <c r="P516" s="3"/>
    </row>
    <row r="517" spans="1:16">
      <c r="A517" s="2" t="s">
        <v>763</v>
      </c>
      <c r="B517" s="2" t="s">
        <v>767</v>
      </c>
      <c r="C517" s="2" t="s">
        <v>768</v>
      </c>
      <c r="D517" s="2"/>
      <c r="E517" s="2"/>
      <c r="F517" s="2"/>
      <c r="G517" s="2"/>
      <c r="H517" s="2"/>
      <c r="I517" s="2"/>
      <c r="J517" s="3">
        <f t="shared" si="9"/>
        <v>0</v>
      </c>
      <c r="L517" s="2" t="s">
        <v>6</v>
      </c>
      <c r="M517" s="3">
        <f>SUM(G514:G521)</f>
        <v>1061</v>
      </c>
      <c r="O517" s="4"/>
      <c r="P517" s="3"/>
    </row>
    <row r="518" spans="1:16">
      <c r="A518" s="2" t="s">
        <v>763</v>
      </c>
      <c r="B518" s="2" t="s">
        <v>769</v>
      </c>
      <c r="C518" s="2" t="s">
        <v>770</v>
      </c>
      <c r="D518" s="2"/>
      <c r="E518" s="2"/>
      <c r="F518" s="2"/>
      <c r="G518" s="2"/>
      <c r="H518" s="2"/>
      <c r="I518" s="2"/>
      <c r="J518" s="3">
        <f t="shared" si="9"/>
        <v>0</v>
      </c>
      <c r="L518" s="2" t="s">
        <v>7</v>
      </c>
      <c r="M518" s="3">
        <f>SUM(H514:H521)</f>
        <v>990</v>
      </c>
      <c r="O518" s="4"/>
      <c r="P518" s="3"/>
    </row>
    <row r="519" spans="1:16">
      <c r="A519" s="2" t="s">
        <v>763</v>
      </c>
      <c r="B519" s="2" t="s">
        <v>88</v>
      </c>
      <c r="C519" s="2" t="s">
        <v>771</v>
      </c>
      <c r="D519" s="2"/>
      <c r="E519" s="2"/>
      <c r="F519" s="2"/>
      <c r="G519" s="2">
        <v>246</v>
      </c>
      <c r="H519" s="2">
        <v>178</v>
      </c>
      <c r="I519" s="2">
        <v>279</v>
      </c>
      <c r="J519" s="3">
        <f t="shared" si="9"/>
        <v>703</v>
      </c>
      <c r="L519" s="2" t="s">
        <v>8</v>
      </c>
      <c r="M519" s="3">
        <f>SUM(I514:I521)</f>
        <v>1148</v>
      </c>
      <c r="O519" s="4"/>
      <c r="P519" s="3"/>
    </row>
    <row r="520" spans="1:16">
      <c r="A520" s="2" t="s">
        <v>763</v>
      </c>
      <c r="B520" s="2" t="s">
        <v>23</v>
      </c>
      <c r="C520" s="2" t="s">
        <v>623</v>
      </c>
      <c r="D520" s="2">
        <v>228</v>
      </c>
      <c r="E520" s="2">
        <v>248</v>
      </c>
      <c r="F520" s="2">
        <v>213</v>
      </c>
      <c r="G520" s="2">
        <v>234</v>
      </c>
      <c r="H520" s="2">
        <v>218</v>
      </c>
      <c r="I520" s="2">
        <v>212</v>
      </c>
      <c r="J520" s="3">
        <f t="shared" si="9"/>
        <v>1353</v>
      </c>
      <c r="L520" s="3"/>
      <c r="M520" s="3"/>
      <c r="O520" s="4"/>
      <c r="P520" s="3"/>
    </row>
    <row r="521" spans="1:16">
      <c r="A521" s="2" t="s">
        <v>763</v>
      </c>
      <c r="B521" s="2" t="s">
        <v>111</v>
      </c>
      <c r="C521" s="2" t="s">
        <v>764</v>
      </c>
      <c r="D521" s="2">
        <v>179</v>
      </c>
      <c r="E521" s="2">
        <v>179</v>
      </c>
      <c r="F521" s="2">
        <v>169</v>
      </c>
      <c r="G521" s="2">
        <v>197</v>
      </c>
      <c r="H521" s="2">
        <v>176</v>
      </c>
      <c r="I521" s="2">
        <v>175</v>
      </c>
      <c r="J521" s="3">
        <f t="shared" si="9"/>
        <v>1075</v>
      </c>
      <c r="L521" s="2"/>
      <c r="M521" s="3"/>
      <c r="O521" s="4"/>
      <c r="P521" s="3"/>
    </row>
    <row r="522" spans="1:16">
      <c r="A522" s="6" t="s">
        <v>772</v>
      </c>
      <c r="B522" s="6" t="s">
        <v>773</v>
      </c>
      <c r="C522" s="6" t="s">
        <v>179</v>
      </c>
      <c r="D522" s="6">
        <v>176</v>
      </c>
      <c r="E522" s="6">
        <v>170</v>
      </c>
      <c r="F522" s="6"/>
      <c r="G522" s="6"/>
      <c r="H522" s="6">
        <v>161</v>
      </c>
      <c r="I522" s="6"/>
      <c r="J522" s="3">
        <f t="shared" si="9"/>
        <v>507</v>
      </c>
      <c r="L522" s="6" t="s">
        <v>3</v>
      </c>
      <c r="M522" s="7">
        <f>SUM(D522:D529)</f>
        <v>899</v>
      </c>
      <c r="O522" s="8" t="str">
        <f>A522</f>
        <v>Wisconsin - Madison</v>
      </c>
      <c r="P522" s="7">
        <f>SUM(M522:M527)</f>
        <v>5533</v>
      </c>
    </row>
    <row r="523" spans="1:16">
      <c r="A523" s="6" t="s">
        <v>772</v>
      </c>
      <c r="B523" s="6" t="s">
        <v>774</v>
      </c>
      <c r="C523" s="6" t="s">
        <v>541</v>
      </c>
      <c r="D523" s="6">
        <v>194</v>
      </c>
      <c r="E523" s="6">
        <v>196</v>
      </c>
      <c r="F523" s="6">
        <v>163</v>
      </c>
      <c r="G523" s="6">
        <v>179</v>
      </c>
      <c r="H523" s="6"/>
      <c r="I523" s="6">
        <v>166</v>
      </c>
      <c r="J523" s="3">
        <f t="shared" si="9"/>
        <v>898</v>
      </c>
      <c r="L523" s="6" t="s">
        <v>4</v>
      </c>
      <c r="M523" s="7">
        <f>SUM(E522:E529)</f>
        <v>929</v>
      </c>
      <c r="O523" s="8"/>
      <c r="P523" s="7"/>
    </row>
    <row r="524" spans="1:16">
      <c r="A524" s="6" t="s">
        <v>772</v>
      </c>
      <c r="B524" s="6" t="s">
        <v>86</v>
      </c>
      <c r="C524" s="6" t="s">
        <v>775</v>
      </c>
      <c r="D524" s="6">
        <v>160</v>
      </c>
      <c r="E524" s="6">
        <v>169</v>
      </c>
      <c r="F524" s="6">
        <v>187</v>
      </c>
      <c r="G524" s="6">
        <v>190</v>
      </c>
      <c r="H524" s="6">
        <v>176</v>
      </c>
      <c r="I524" s="6">
        <v>176</v>
      </c>
      <c r="J524" s="3">
        <f t="shared" si="9"/>
        <v>1058</v>
      </c>
      <c r="L524" s="6" t="s">
        <v>5</v>
      </c>
      <c r="M524" s="7">
        <f>SUM(F522:F529)</f>
        <v>953</v>
      </c>
      <c r="O524" s="8"/>
      <c r="P524" s="7"/>
    </row>
    <row r="525" spans="1:16">
      <c r="A525" s="6" t="s">
        <v>772</v>
      </c>
      <c r="B525" s="6" t="s">
        <v>266</v>
      </c>
      <c r="C525" s="6" t="s">
        <v>776</v>
      </c>
      <c r="D525" s="6">
        <v>162</v>
      </c>
      <c r="E525" s="6"/>
      <c r="F525" s="6">
        <v>214</v>
      </c>
      <c r="G525" s="6">
        <v>202</v>
      </c>
      <c r="H525" s="6">
        <v>180</v>
      </c>
      <c r="I525" s="6">
        <v>198</v>
      </c>
      <c r="J525" s="3">
        <f t="shared" si="9"/>
        <v>956</v>
      </c>
      <c r="L525" s="6" t="s">
        <v>6</v>
      </c>
      <c r="M525" s="7">
        <f>SUM(G522:G529)</f>
        <v>918</v>
      </c>
      <c r="O525" s="8"/>
      <c r="P525" s="7"/>
    </row>
    <row r="526" spans="1:16">
      <c r="A526" s="6" t="s">
        <v>772</v>
      </c>
      <c r="B526" s="6" t="s">
        <v>199</v>
      </c>
      <c r="C526" s="6" t="s">
        <v>777</v>
      </c>
      <c r="D526" s="6">
        <v>207</v>
      </c>
      <c r="E526" s="6">
        <v>181</v>
      </c>
      <c r="F526" s="6">
        <v>228</v>
      </c>
      <c r="G526" s="6">
        <v>188</v>
      </c>
      <c r="H526" s="6">
        <v>221</v>
      </c>
      <c r="I526" s="6">
        <v>199</v>
      </c>
      <c r="J526" s="3">
        <f t="shared" si="9"/>
        <v>1224</v>
      </c>
      <c r="L526" s="6" t="s">
        <v>7</v>
      </c>
      <c r="M526" s="7">
        <f>SUM(H522:H529)</f>
        <v>895</v>
      </c>
      <c r="O526" s="8"/>
      <c r="P526" s="7"/>
    </row>
    <row r="527" spans="1:16">
      <c r="A527" s="6" t="s">
        <v>772</v>
      </c>
      <c r="B527" s="6" t="s">
        <v>161</v>
      </c>
      <c r="C527" s="6" t="s">
        <v>778</v>
      </c>
      <c r="D527" s="6"/>
      <c r="E527" s="6"/>
      <c r="F527" s="6"/>
      <c r="G527" s="6"/>
      <c r="H527" s="6"/>
      <c r="I527" s="6"/>
      <c r="J527" s="3">
        <f t="shared" si="9"/>
        <v>0</v>
      </c>
      <c r="L527" s="6" t="s">
        <v>8</v>
      </c>
      <c r="M527" s="7">
        <f>SUM(I522:I529)</f>
        <v>939</v>
      </c>
      <c r="O527" s="8"/>
      <c r="P527" s="7"/>
    </row>
    <row r="528" spans="1:16">
      <c r="A528" s="6" t="s">
        <v>772</v>
      </c>
      <c r="B528" s="6" t="s">
        <v>322</v>
      </c>
      <c r="C528" s="6" t="s">
        <v>779</v>
      </c>
      <c r="D528" s="6"/>
      <c r="E528" s="6">
        <v>213</v>
      </c>
      <c r="F528" s="6">
        <v>161</v>
      </c>
      <c r="G528" s="6">
        <v>159</v>
      </c>
      <c r="H528" s="6"/>
      <c r="I528" s="6">
        <v>200</v>
      </c>
      <c r="J528" s="3">
        <f t="shared" si="9"/>
        <v>733</v>
      </c>
      <c r="L528" s="6"/>
      <c r="M528" s="7"/>
      <c r="O528" s="8"/>
      <c r="P528" s="7"/>
    </row>
    <row r="529" spans="1:16">
      <c r="A529" s="6" t="s">
        <v>772</v>
      </c>
      <c r="B529" s="6" t="s">
        <v>94</v>
      </c>
      <c r="C529" s="6" t="s">
        <v>780</v>
      </c>
      <c r="D529" s="6"/>
      <c r="E529" s="6"/>
      <c r="F529" s="6"/>
      <c r="G529" s="6"/>
      <c r="H529" s="6">
        <v>157</v>
      </c>
      <c r="I529" s="6"/>
      <c r="J529" s="3">
        <f t="shared" si="9"/>
        <v>157</v>
      </c>
      <c r="L529" s="6"/>
      <c r="M529" s="7"/>
      <c r="O529" s="8"/>
      <c r="P529" s="7"/>
    </row>
    <row r="530" spans="1:16">
      <c r="A530" s="2" t="s">
        <v>781</v>
      </c>
      <c r="B530" s="2" t="s">
        <v>782</v>
      </c>
      <c r="C530" s="2" t="s">
        <v>783</v>
      </c>
      <c r="D530" s="2">
        <v>146</v>
      </c>
      <c r="E530" s="2">
        <v>210</v>
      </c>
      <c r="F530" s="2">
        <v>168</v>
      </c>
      <c r="G530" s="2">
        <v>151</v>
      </c>
      <c r="H530" s="2">
        <v>189</v>
      </c>
      <c r="I530" s="2">
        <v>171</v>
      </c>
      <c r="J530" s="3">
        <f t="shared" si="9"/>
        <v>1035</v>
      </c>
      <c r="L530" s="2" t="s">
        <v>3</v>
      </c>
      <c r="M530" s="3">
        <f>SUM(D530:D537)</f>
        <v>775</v>
      </c>
      <c r="O530" s="4" t="str">
        <f>A530</f>
        <v>Ball State</v>
      </c>
      <c r="P530" s="3">
        <f>SUM(M530:M535)</f>
        <v>5128</v>
      </c>
    </row>
    <row r="531" spans="1:16">
      <c r="A531" s="2" t="s">
        <v>781</v>
      </c>
      <c r="B531" s="2" t="s">
        <v>784</v>
      </c>
      <c r="C531" s="2" t="s">
        <v>785</v>
      </c>
      <c r="D531" s="2">
        <v>123</v>
      </c>
      <c r="E531" s="2">
        <v>190</v>
      </c>
      <c r="F531" s="2">
        <v>168</v>
      </c>
      <c r="G531" s="2">
        <v>183</v>
      </c>
      <c r="H531" s="2">
        <v>185</v>
      </c>
      <c r="I531" s="2">
        <v>171</v>
      </c>
      <c r="J531" s="3">
        <f t="shared" si="9"/>
        <v>1020</v>
      </c>
      <c r="L531" s="2" t="s">
        <v>4</v>
      </c>
      <c r="M531" s="3">
        <f>SUM(E530:E537)</f>
        <v>961</v>
      </c>
      <c r="O531" s="4"/>
      <c r="P531" s="3"/>
    </row>
    <row r="532" spans="1:16">
      <c r="A532" s="2" t="s">
        <v>781</v>
      </c>
      <c r="B532" s="2" t="s">
        <v>105</v>
      </c>
      <c r="C532" s="2" t="s">
        <v>786</v>
      </c>
      <c r="D532" s="2">
        <v>134</v>
      </c>
      <c r="E532" s="2">
        <v>180</v>
      </c>
      <c r="F532" s="2">
        <v>179</v>
      </c>
      <c r="G532" s="2">
        <v>182</v>
      </c>
      <c r="H532" s="2">
        <v>114</v>
      </c>
      <c r="I532" s="2">
        <v>125</v>
      </c>
      <c r="J532" s="3">
        <f t="shared" si="9"/>
        <v>914</v>
      </c>
      <c r="L532" s="2" t="s">
        <v>5</v>
      </c>
      <c r="M532" s="3">
        <f>SUM(F530:F537)</f>
        <v>834</v>
      </c>
      <c r="O532" s="4"/>
      <c r="P532" s="3"/>
    </row>
    <row r="533" spans="1:16">
      <c r="A533" s="2" t="s">
        <v>781</v>
      </c>
      <c r="B533" s="2" t="s">
        <v>473</v>
      </c>
      <c r="C533" s="2" t="s">
        <v>787</v>
      </c>
      <c r="D533" s="2">
        <v>189</v>
      </c>
      <c r="E533" s="2">
        <v>169</v>
      </c>
      <c r="F533" s="2">
        <v>170</v>
      </c>
      <c r="G533" s="2">
        <v>176</v>
      </c>
      <c r="H533" s="2">
        <v>146</v>
      </c>
      <c r="I533" s="2">
        <v>168</v>
      </c>
      <c r="J533" s="3">
        <f t="shared" si="9"/>
        <v>1018</v>
      </c>
      <c r="L533" s="2" t="s">
        <v>6</v>
      </c>
      <c r="M533" s="3">
        <f>SUM(G530:G537)</f>
        <v>924</v>
      </c>
      <c r="O533" s="4"/>
      <c r="P533" s="3"/>
    </row>
    <row r="534" spans="1:16">
      <c r="A534" s="2" t="s">
        <v>781</v>
      </c>
      <c r="B534" s="2" t="s">
        <v>320</v>
      </c>
      <c r="C534" s="2" t="s">
        <v>787</v>
      </c>
      <c r="D534" s="2">
        <v>183</v>
      </c>
      <c r="E534" s="2">
        <v>212</v>
      </c>
      <c r="F534" s="2">
        <v>149</v>
      </c>
      <c r="G534" s="2">
        <v>232</v>
      </c>
      <c r="H534" s="2">
        <v>169</v>
      </c>
      <c r="I534" s="2">
        <v>196</v>
      </c>
      <c r="J534" s="3">
        <f t="shared" si="9"/>
        <v>1141</v>
      </c>
      <c r="L534" s="2" t="s">
        <v>7</v>
      </c>
      <c r="M534" s="3">
        <f>SUM(H530:H537)</f>
        <v>803</v>
      </c>
      <c r="O534" s="4"/>
      <c r="P534" s="3"/>
    </row>
    <row r="535" spans="1:16">
      <c r="A535" s="2" t="s">
        <v>781</v>
      </c>
      <c r="B535" s="2" t="s">
        <v>291</v>
      </c>
      <c r="C535" s="2" t="s">
        <v>788</v>
      </c>
      <c r="D535" s="2"/>
      <c r="E535" s="2"/>
      <c r="F535" s="2"/>
      <c r="G535" s="2"/>
      <c r="H535" s="2"/>
      <c r="I535" s="2"/>
      <c r="J535" s="3">
        <f t="shared" si="9"/>
        <v>0</v>
      </c>
      <c r="L535" s="2" t="s">
        <v>8</v>
      </c>
      <c r="M535" s="3">
        <f>SUM(I530:I537)</f>
        <v>831</v>
      </c>
      <c r="O535" s="4"/>
      <c r="P535" s="3"/>
    </row>
    <row r="536" spans="1:16">
      <c r="A536" s="2" t="s">
        <v>781</v>
      </c>
      <c r="B536" s="2"/>
      <c r="C536" s="2"/>
      <c r="D536" s="2"/>
      <c r="E536" s="2"/>
      <c r="F536" s="2"/>
      <c r="G536" s="2"/>
      <c r="H536" s="2"/>
      <c r="I536" s="2"/>
      <c r="J536" s="3">
        <f t="shared" si="9"/>
        <v>0</v>
      </c>
      <c r="L536" s="3"/>
      <c r="M536" s="3"/>
      <c r="O536" s="4"/>
      <c r="P536" s="3"/>
    </row>
    <row r="537" spans="1:16">
      <c r="A537" s="2" t="s">
        <v>781</v>
      </c>
      <c r="B537" s="2"/>
      <c r="C537" s="2"/>
      <c r="D537" s="2"/>
      <c r="E537" s="2"/>
      <c r="F537" s="2"/>
      <c r="G537" s="2"/>
      <c r="H537" s="2"/>
      <c r="I537" s="2"/>
      <c r="J537" s="3">
        <f t="shared" si="9"/>
        <v>0</v>
      </c>
      <c r="L537" s="2"/>
      <c r="M537" s="3"/>
      <c r="O537" s="4"/>
      <c r="P537" s="3"/>
    </row>
    <row r="538" spans="1:16">
      <c r="A538" s="6" t="s">
        <v>789</v>
      </c>
      <c r="B538" s="6" t="s">
        <v>790</v>
      </c>
      <c r="C538" s="6" t="s">
        <v>791</v>
      </c>
      <c r="D538" s="6"/>
      <c r="E538" s="6"/>
      <c r="F538" s="6"/>
      <c r="G538" s="6"/>
      <c r="H538" s="6">
        <v>166</v>
      </c>
      <c r="I538" s="6">
        <v>175</v>
      </c>
      <c r="J538" s="3">
        <f t="shared" si="9"/>
        <v>341</v>
      </c>
      <c r="L538" s="6" t="s">
        <v>3</v>
      </c>
      <c r="M538" s="7">
        <f>SUM(D538:D545)</f>
        <v>913</v>
      </c>
      <c r="O538" s="8" t="str">
        <f>A538</f>
        <v>San Jose State</v>
      </c>
      <c r="P538" s="7">
        <f>SUM(M538:M543)</f>
        <v>5404</v>
      </c>
    </row>
    <row r="539" spans="1:16">
      <c r="A539" s="6" t="s">
        <v>789</v>
      </c>
      <c r="B539" s="6" t="s">
        <v>206</v>
      </c>
      <c r="C539" s="6" t="s">
        <v>792</v>
      </c>
      <c r="D539" s="6">
        <v>205</v>
      </c>
      <c r="E539" s="6">
        <v>184</v>
      </c>
      <c r="F539" s="6">
        <v>224</v>
      </c>
      <c r="G539" s="6">
        <v>151</v>
      </c>
      <c r="H539" s="6">
        <v>152</v>
      </c>
      <c r="I539" s="6">
        <v>159</v>
      </c>
      <c r="J539" s="3">
        <f t="shared" si="9"/>
        <v>1075</v>
      </c>
      <c r="L539" s="6" t="s">
        <v>4</v>
      </c>
      <c r="M539" s="7">
        <f>SUM(E538:E545)</f>
        <v>941</v>
      </c>
      <c r="O539" s="8"/>
      <c r="P539" s="7"/>
    </row>
    <row r="540" spans="1:16">
      <c r="A540" s="6" t="s">
        <v>789</v>
      </c>
      <c r="B540" s="6" t="s">
        <v>793</v>
      </c>
      <c r="C540" s="6" t="s">
        <v>794</v>
      </c>
      <c r="D540" s="6">
        <v>188</v>
      </c>
      <c r="E540" s="6">
        <v>195</v>
      </c>
      <c r="F540" s="6">
        <v>207</v>
      </c>
      <c r="G540" s="6">
        <v>180</v>
      </c>
      <c r="H540" s="6">
        <v>181</v>
      </c>
      <c r="I540" s="6">
        <v>150</v>
      </c>
      <c r="J540" s="3">
        <f t="shared" si="9"/>
        <v>1101</v>
      </c>
      <c r="L540" s="6" t="s">
        <v>5</v>
      </c>
      <c r="M540" s="7">
        <f>SUM(F538:F545)</f>
        <v>970</v>
      </c>
      <c r="O540" s="8"/>
      <c r="P540" s="7"/>
    </row>
    <row r="541" spans="1:16">
      <c r="A541" s="6" t="s">
        <v>789</v>
      </c>
      <c r="B541" s="6" t="s">
        <v>36</v>
      </c>
      <c r="C541" s="6" t="s">
        <v>795</v>
      </c>
      <c r="D541" s="6">
        <v>191</v>
      </c>
      <c r="E541" s="6">
        <v>225</v>
      </c>
      <c r="F541" s="6">
        <v>223</v>
      </c>
      <c r="G541" s="6">
        <v>183</v>
      </c>
      <c r="H541" s="6">
        <v>189</v>
      </c>
      <c r="I541" s="6">
        <v>188</v>
      </c>
      <c r="J541" s="3">
        <f t="shared" si="9"/>
        <v>1199</v>
      </c>
      <c r="L541" s="6" t="s">
        <v>6</v>
      </c>
      <c r="M541" s="7">
        <f>SUM(G538:G545)</f>
        <v>848</v>
      </c>
      <c r="O541" s="8"/>
      <c r="P541" s="7"/>
    </row>
    <row r="542" spans="1:16">
      <c r="A542" s="6" t="s">
        <v>789</v>
      </c>
      <c r="B542" s="6" t="s">
        <v>473</v>
      </c>
      <c r="C542" s="6" t="s">
        <v>796</v>
      </c>
      <c r="D542" s="6">
        <v>180</v>
      </c>
      <c r="E542" s="6">
        <v>161</v>
      </c>
      <c r="F542" s="6">
        <v>164</v>
      </c>
      <c r="G542" s="6">
        <v>152</v>
      </c>
      <c r="H542" s="6"/>
      <c r="I542" s="6"/>
      <c r="J542" s="3">
        <f t="shared" si="9"/>
        <v>657</v>
      </c>
      <c r="L542" s="6" t="s">
        <v>7</v>
      </c>
      <c r="M542" s="7">
        <f>SUM(H538:H545)</f>
        <v>868</v>
      </c>
      <c r="O542" s="8"/>
      <c r="P542" s="7"/>
    </row>
    <row r="543" spans="1:16">
      <c r="A543" s="6" t="s">
        <v>789</v>
      </c>
      <c r="B543" s="6" t="s">
        <v>797</v>
      </c>
      <c r="C543" s="6" t="s">
        <v>798</v>
      </c>
      <c r="D543" s="6">
        <v>149</v>
      </c>
      <c r="E543" s="6">
        <v>176</v>
      </c>
      <c r="F543" s="6">
        <v>152</v>
      </c>
      <c r="G543" s="6">
        <v>182</v>
      </c>
      <c r="H543" s="6">
        <v>180</v>
      </c>
      <c r="I543" s="6">
        <v>192</v>
      </c>
      <c r="J543" s="3">
        <f t="shared" si="9"/>
        <v>1031</v>
      </c>
      <c r="L543" s="6" t="s">
        <v>8</v>
      </c>
      <c r="M543" s="7">
        <f>SUM(I538:I545)</f>
        <v>864</v>
      </c>
      <c r="O543" s="8"/>
      <c r="P543" s="7"/>
    </row>
    <row r="544" spans="1:16">
      <c r="A544" s="6" t="s">
        <v>789</v>
      </c>
      <c r="B544" s="6"/>
      <c r="C544" s="6"/>
      <c r="D544" s="6"/>
      <c r="E544" s="6"/>
      <c r="F544" s="6"/>
      <c r="G544" s="6"/>
      <c r="H544" s="6"/>
      <c r="I544" s="6"/>
      <c r="J544" s="3">
        <f t="shared" si="9"/>
        <v>0</v>
      </c>
      <c r="L544" s="6"/>
      <c r="M544" s="7"/>
      <c r="O544" s="8"/>
      <c r="P544" s="7"/>
    </row>
    <row r="545" spans="1:16">
      <c r="A545" s="6" t="s">
        <v>789</v>
      </c>
      <c r="B545" s="6"/>
      <c r="C545" s="6"/>
      <c r="D545" s="6"/>
      <c r="E545" s="6"/>
      <c r="F545" s="6"/>
      <c r="G545" s="6"/>
      <c r="H545" s="6"/>
      <c r="I545" s="6"/>
      <c r="J545" s="3">
        <f t="shared" si="9"/>
        <v>0</v>
      </c>
      <c r="L545" s="6"/>
      <c r="M545" s="7"/>
      <c r="O545" s="8"/>
      <c r="P545" s="7"/>
    </row>
    <row r="546" spans="1:16">
      <c r="A546" s="2" t="s">
        <v>799</v>
      </c>
      <c r="B546" s="2" t="s">
        <v>99</v>
      </c>
      <c r="C546" s="2" t="s">
        <v>800</v>
      </c>
      <c r="D546" s="2">
        <v>162</v>
      </c>
      <c r="E546" s="2"/>
      <c r="F546" s="2"/>
      <c r="G546" s="2">
        <v>177</v>
      </c>
      <c r="H546" s="2">
        <v>167</v>
      </c>
      <c r="I546" s="2">
        <v>211</v>
      </c>
      <c r="J546" s="3">
        <f t="shared" si="9"/>
        <v>717</v>
      </c>
      <c r="L546" s="2" t="s">
        <v>3</v>
      </c>
      <c r="M546" s="3">
        <f>SUM(D546:D553)</f>
        <v>969</v>
      </c>
      <c r="O546" s="4" t="str">
        <f>A546</f>
        <v>Saginaw Valley</v>
      </c>
      <c r="P546" s="3">
        <f>SUM(M546:M551)</f>
        <v>5653</v>
      </c>
    </row>
    <row r="547" spans="1:16">
      <c r="A547" s="2" t="s">
        <v>799</v>
      </c>
      <c r="B547" s="2" t="s">
        <v>332</v>
      </c>
      <c r="C547" s="2" t="s">
        <v>801</v>
      </c>
      <c r="D547" s="2">
        <v>170</v>
      </c>
      <c r="E547" s="2"/>
      <c r="F547" s="2"/>
      <c r="G547" s="2">
        <v>191</v>
      </c>
      <c r="H547" s="2">
        <v>141</v>
      </c>
      <c r="I547" s="2"/>
      <c r="J547" s="3">
        <f t="shared" ref="J547:J610" si="10">SUM(D547:I547)</f>
        <v>502</v>
      </c>
      <c r="L547" s="2" t="s">
        <v>4</v>
      </c>
      <c r="M547" s="3">
        <f>SUM(E546:E553)</f>
        <v>934</v>
      </c>
      <c r="O547" s="4"/>
      <c r="P547" s="3"/>
    </row>
    <row r="548" spans="1:16">
      <c r="A548" s="2" t="s">
        <v>799</v>
      </c>
      <c r="B548" s="2" t="s">
        <v>647</v>
      </c>
      <c r="C548" s="2" t="s">
        <v>802</v>
      </c>
      <c r="D548" s="2"/>
      <c r="E548" s="2">
        <v>181</v>
      </c>
      <c r="F548" s="2">
        <v>154</v>
      </c>
      <c r="G548" s="2"/>
      <c r="H548" s="2"/>
      <c r="I548" s="2">
        <v>159</v>
      </c>
      <c r="J548" s="3">
        <f t="shared" si="10"/>
        <v>494</v>
      </c>
      <c r="L548" s="2" t="s">
        <v>5</v>
      </c>
      <c r="M548" s="3">
        <f>SUM(F546:F553)</f>
        <v>850</v>
      </c>
      <c r="O548" s="4"/>
      <c r="P548" s="3"/>
    </row>
    <row r="549" spans="1:16">
      <c r="A549" s="2" t="s">
        <v>799</v>
      </c>
      <c r="B549" s="2" t="s">
        <v>30</v>
      </c>
      <c r="C549" s="2" t="s">
        <v>803</v>
      </c>
      <c r="D549" s="2">
        <v>170</v>
      </c>
      <c r="E549" s="2">
        <v>169</v>
      </c>
      <c r="F549" s="2">
        <v>191</v>
      </c>
      <c r="G549" s="2">
        <v>224</v>
      </c>
      <c r="H549" s="2">
        <v>185</v>
      </c>
      <c r="I549" s="2"/>
      <c r="J549" s="3">
        <f t="shared" si="10"/>
        <v>939</v>
      </c>
      <c r="L549" s="2" t="s">
        <v>6</v>
      </c>
      <c r="M549" s="3">
        <f>SUM(G546:G553)</f>
        <v>963</v>
      </c>
      <c r="O549" s="4"/>
      <c r="P549" s="3"/>
    </row>
    <row r="550" spans="1:16">
      <c r="A550" s="2" t="s">
        <v>799</v>
      </c>
      <c r="B550" s="2" t="s">
        <v>424</v>
      </c>
      <c r="C550" s="2" t="s">
        <v>804</v>
      </c>
      <c r="D550" s="2"/>
      <c r="E550" s="2">
        <v>216</v>
      </c>
      <c r="F550" s="2">
        <v>199</v>
      </c>
      <c r="G550" s="2">
        <v>212</v>
      </c>
      <c r="H550" s="2">
        <v>222</v>
      </c>
      <c r="I550" s="2">
        <v>200</v>
      </c>
      <c r="J550" s="3">
        <f t="shared" si="10"/>
        <v>1049</v>
      </c>
      <c r="L550" s="2" t="s">
        <v>7</v>
      </c>
      <c r="M550" s="3">
        <f>SUM(H546:H553)</f>
        <v>914</v>
      </c>
      <c r="O550" s="4"/>
      <c r="P550" s="3"/>
    </row>
    <row r="551" spans="1:16">
      <c r="A551" s="2" t="s">
        <v>799</v>
      </c>
      <c r="B551" s="5" t="s">
        <v>805</v>
      </c>
      <c r="C551" s="5" t="s">
        <v>806</v>
      </c>
      <c r="E551" s="2"/>
      <c r="F551" s="2"/>
      <c r="G551" s="2"/>
      <c r="H551" s="2"/>
      <c r="I551" s="2"/>
      <c r="J551" s="3">
        <f t="shared" si="10"/>
        <v>0</v>
      </c>
      <c r="L551" s="2" t="s">
        <v>8</v>
      </c>
      <c r="M551" s="3">
        <f>SUM(I546:I553)</f>
        <v>1023</v>
      </c>
      <c r="O551" s="4"/>
      <c r="P551" s="3"/>
    </row>
    <row r="552" spans="1:16">
      <c r="A552" s="2" t="s">
        <v>799</v>
      </c>
      <c r="B552" s="2" t="s">
        <v>59</v>
      </c>
      <c r="C552" s="2" t="s">
        <v>446</v>
      </c>
      <c r="D552" s="2">
        <v>220</v>
      </c>
      <c r="E552" s="2">
        <v>168</v>
      </c>
      <c r="F552" s="2">
        <v>142</v>
      </c>
      <c r="G552" s="2"/>
      <c r="H552" s="2"/>
      <c r="I552" s="2">
        <v>255</v>
      </c>
      <c r="J552" s="3">
        <f t="shared" si="10"/>
        <v>785</v>
      </c>
      <c r="L552" s="3"/>
      <c r="M552" s="3"/>
      <c r="O552" s="4"/>
      <c r="P552" s="3"/>
    </row>
    <row r="553" spans="1:16">
      <c r="A553" s="2" t="s">
        <v>799</v>
      </c>
      <c r="B553" s="2" t="s">
        <v>59</v>
      </c>
      <c r="C553" s="2" t="s">
        <v>315</v>
      </c>
      <c r="D553" s="2">
        <v>247</v>
      </c>
      <c r="E553" s="2">
        <v>200</v>
      </c>
      <c r="F553" s="2">
        <v>164</v>
      </c>
      <c r="G553" s="2">
        <v>159</v>
      </c>
      <c r="H553" s="2">
        <v>199</v>
      </c>
      <c r="I553" s="2">
        <v>198</v>
      </c>
      <c r="J553" s="3">
        <f t="shared" si="10"/>
        <v>1167</v>
      </c>
      <c r="L553" s="2"/>
      <c r="M553" s="3"/>
      <c r="O553" s="4"/>
      <c r="P553" s="3"/>
    </row>
    <row r="554" spans="1:16">
      <c r="A554" s="6" t="s">
        <v>807</v>
      </c>
      <c r="B554" s="6" t="s">
        <v>45</v>
      </c>
      <c r="C554" s="6" t="s">
        <v>808</v>
      </c>
      <c r="D554" s="6">
        <v>161</v>
      </c>
      <c r="E554" s="6">
        <v>183</v>
      </c>
      <c r="F554" s="6">
        <v>194</v>
      </c>
      <c r="G554" s="6">
        <v>210</v>
      </c>
      <c r="H554" s="6">
        <v>223</v>
      </c>
      <c r="I554" s="6">
        <v>201</v>
      </c>
      <c r="J554" s="3">
        <f t="shared" si="10"/>
        <v>1172</v>
      </c>
      <c r="L554" s="6" t="s">
        <v>3</v>
      </c>
      <c r="M554" s="7">
        <f>SUM(D554:D561)</f>
        <v>753</v>
      </c>
      <c r="O554" s="8" t="str">
        <f>A554</f>
        <v>Toledo</v>
      </c>
      <c r="P554" s="7">
        <f>SUM(M554:M559)</f>
        <v>5608</v>
      </c>
    </row>
    <row r="555" spans="1:16">
      <c r="A555" s="6" t="s">
        <v>807</v>
      </c>
      <c r="B555" s="6" t="s">
        <v>567</v>
      </c>
      <c r="C555" s="6" t="s">
        <v>351</v>
      </c>
      <c r="D555" s="6">
        <v>142</v>
      </c>
      <c r="E555" s="6">
        <v>195</v>
      </c>
      <c r="F555" s="6">
        <v>167</v>
      </c>
      <c r="G555" s="6">
        <v>219</v>
      </c>
      <c r="H555" s="6">
        <v>180</v>
      </c>
      <c r="I555" s="6">
        <v>192</v>
      </c>
      <c r="J555" s="3">
        <f t="shared" si="10"/>
        <v>1095</v>
      </c>
      <c r="L555" s="6" t="s">
        <v>4</v>
      </c>
      <c r="M555" s="7">
        <f>SUM(E554:E561)</f>
        <v>970</v>
      </c>
      <c r="O555" s="8"/>
      <c r="P555" s="7"/>
    </row>
    <row r="556" spans="1:16">
      <c r="A556" s="6" t="s">
        <v>807</v>
      </c>
      <c r="B556" s="6" t="s">
        <v>809</v>
      </c>
      <c r="C556" s="6" t="s">
        <v>810</v>
      </c>
      <c r="D556" s="6"/>
      <c r="E556" s="6"/>
      <c r="F556" s="6"/>
      <c r="G556" s="6"/>
      <c r="H556" s="6"/>
      <c r="I556" s="6"/>
      <c r="J556" s="3">
        <f t="shared" si="10"/>
        <v>0</v>
      </c>
      <c r="L556" s="6" t="s">
        <v>5</v>
      </c>
      <c r="M556" s="7">
        <f>SUM(F554:F561)</f>
        <v>963</v>
      </c>
      <c r="O556" s="8"/>
      <c r="P556" s="7"/>
    </row>
    <row r="557" spans="1:16">
      <c r="A557" s="6" t="s">
        <v>807</v>
      </c>
      <c r="B557" s="6" t="s">
        <v>811</v>
      </c>
      <c r="C557" s="6" t="s">
        <v>812</v>
      </c>
      <c r="D557" s="6"/>
      <c r="E557" s="6"/>
      <c r="F557" s="6"/>
      <c r="G557" s="6"/>
      <c r="H557" s="6"/>
      <c r="I557" s="6"/>
      <c r="J557" s="3">
        <f t="shared" si="10"/>
        <v>0</v>
      </c>
      <c r="L557" s="6" t="s">
        <v>6</v>
      </c>
      <c r="M557" s="7">
        <f>SUM(G554:G561)</f>
        <v>975</v>
      </c>
      <c r="O557" s="8"/>
      <c r="P557" s="7"/>
    </row>
    <row r="558" spans="1:16">
      <c r="A558" s="6" t="s">
        <v>807</v>
      </c>
      <c r="B558" s="6" t="s">
        <v>813</v>
      </c>
      <c r="C558" s="6" t="s">
        <v>814</v>
      </c>
      <c r="D558" s="6">
        <v>128</v>
      </c>
      <c r="E558" s="6">
        <v>208</v>
      </c>
      <c r="F558" s="6">
        <v>169</v>
      </c>
      <c r="G558" s="6">
        <v>200</v>
      </c>
      <c r="H558" s="6">
        <v>222</v>
      </c>
      <c r="I558" s="6">
        <v>202</v>
      </c>
      <c r="J558" s="3">
        <f t="shared" si="10"/>
        <v>1129</v>
      </c>
      <c r="L558" s="6" t="s">
        <v>7</v>
      </c>
      <c r="M558" s="7">
        <f>SUM(H554:H561)</f>
        <v>1006</v>
      </c>
      <c r="O558" s="8"/>
      <c r="P558" s="7"/>
    </row>
    <row r="559" spans="1:16">
      <c r="A559" s="6" t="s">
        <v>807</v>
      </c>
      <c r="B559" s="6" t="s">
        <v>320</v>
      </c>
      <c r="C559" s="6" t="s">
        <v>815</v>
      </c>
      <c r="D559" s="6">
        <v>177</v>
      </c>
      <c r="E559" s="6">
        <v>181</v>
      </c>
      <c r="F559" s="6">
        <v>228</v>
      </c>
      <c r="G559" s="6">
        <v>176</v>
      </c>
      <c r="H559" s="6">
        <v>215</v>
      </c>
      <c r="I559" s="6">
        <v>170</v>
      </c>
      <c r="J559" s="3">
        <f t="shared" si="10"/>
        <v>1147</v>
      </c>
      <c r="L559" s="6" t="s">
        <v>8</v>
      </c>
      <c r="M559" s="7">
        <f>SUM(I554:I561)</f>
        <v>941</v>
      </c>
      <c r="O559" s="8"/>
      <c r="P559" s="7"/>
    </row>
    <row r="560" spans="1:16">
      <c r="A560" s="6" t="s">
        <v>807</v>
      </c>
      <c r="B560" s="6" t="s">
        <v>111</v>
      </c>
      <c r="C560" s="6" t="s">
        <v>816</v>
      </c>
      <c r="D560" s="6">
        <v>145</v>
      </c>
      <c r="E560" s="6">
        <v>203</v>
      </c>
      <c r="F560" s="6">
        <v>205</v>
      </c>
      <c r="G560" s="6">
        <v>170</v>
      </c>
      <c r="H560" s="6">
        <v>166</v>
      </c>
      <c r="I560" s="6">
        <v>176</v>
      </c>
      <c r="J560" s="3">
        <f t="shared" si="10"/>
        <v>1065</v>
      </c>
      <c r="L560" s="6"/>
      <c r="M560" s="7"/>
      <c r="O560" s="8"/>
      <c r="P560" s="7"/>
    </row>
    <row r="561" spans="1:16">
      <c r="A561" s="6" t="s">
        <v>807</v>
      </c>
      <c r="B561" s="6"/>
      <c r="C561" s="6"/>
      <c r="D561" s="6"/>
      <c r="E561" s="6"/>
      <c r="F561" s="6"/>
      <c r="G561" s="6"/>
      <c r="H561" s="6"/>
      <c r="I561" s="6"/>
      <c r="J561" s="3">
        <f t="shared" si="10"/>
        <v>0</v>
      </c>
      <c r="L561" s="6"/>
      <c r="M561" s="7"/>
      <c r="O561" s="8"/>
      <c r="P561" s="7"/>
    </row>
    <row r="562" spans="1:16">
      <c r="A562" s="2" t="s">
        <v>817</v>
      </c>
      <c r="B562" s="2" t="s">
        <v>36</v>
      </c>
      <c r="C562" s="2" t="s">
        <v>818</v>
      </c>
      <c r="D562" s="2">
        <v>198</v>
      </c>
      <c r="E562" s="2">
        <v>142</v>
      </c>
      <c r="F562" s="2"/>
      <c r="G562" s="2">
        <v>180</v>
      </c>
      <c r="H562" s="2"/>
      <c r="I562" s="2"/>
      <c r="J562" s="3">
        <f t="shared" si="10"/>
        <v>520</v>
      </c>
      <c r="L562" s="2" t="s">
        <v>3</v>
      </c>
      <c r="M562" s="3">
        <f>SUM(D562:D569)</f>
        <v>911</v>
      </c>
      <c r="O562" s="4" t="str">
        <f>A562</f>
        <v>Lindenwood</v>
      </c>
      <c r="P562" s="3">
        <f>SUM(M562:M567)</f>
        <v>5852</v>
      </c>
    </row>
    <row r="563" spans="1:16">
      <c r="A563" s="2" t="s">
        <v>817</v>
      </c>
      <c r="B563" s="2" t="s">
        <v>453</v>
      </c>
      <c r="C563" s="2" t="s">
        <v>819</v>
      </c>
      <c r="D563" s="2">
        <v>174</v>
      </c>
      <c r="E563" s="2">
        <v>197</v>
      </c>
      <c r="F563" s="2">
        <v>224</v>
      </c>
      <c r="G563" s="2">
        <v>191</v>
      </c>
      <c r="H563" s="2">
        <v>195</v>
      </c>
      <c r="I563" s="2">
        <v>181</v>
      </c>
      <c r="J563" s="3">
        <f t="shared" si="10"/>
        <v>1162</v>
      </c>
      <c r="L563" s="2" t="s">
        <v>4</v>
      </c>
      <c r="M563" s="3">
        <f>SUM(E562:E569)</f>
        <v>945</v>
      </c>
      <c r="O563" s="4"/>
      <c r="P563" s="3"/>
    </row>
    <row r="564" spans="1:16">
      <c r="A564" s="2" t="s">
        <v>817</v>
      </c>
      <c r="B564" s="2" t="s">
        <v>30</v>
      </c>
      <c r="C564" s="2" t="s">
        <v>820</v>
      </c>
      <c r="D564" s="2">
        <v>243</v>
      </c>
      <c r="E564" s="2">
        <v>223</v>
      </c>
      <c r="F564" s="2">
        <v>202</v>
      </c>
      <c r="G564" s="2">
        <v>176</v>
      </c>
      <c r="H564" s="2">
        <v>235</v>
      </c>
      <c r="I564" s="2">
        <v>206</v>
      </c>
      <c r="J564" s="3">
        <f t="shared" si="10"/>
        <v>1285</v>
      </c>
      <c r="L564" s="2" t="s">
        <v>5</v>
      </c>
      <c r="M564" s="3">
        <f>SUM(F562:F569)</f>
        <v>952</v>
      </c>
      <c r="O564" s="4"/>
      <c r="P564" s="3"/>
    </row>
    <row r="565" spans="1:16">
      <c r="A565" s="2" t="s">
        <v>817</v>
      </c>
      <c r="B565" s="2" t="s">
        <v>821</v>
      </c>
      <c r="C565" s="2" t="s">
        <v>822</v>
      </c>
      <c r="D565" s="2">
        <v>140</v>
      </c>
      <c r="E565" s="2"/>
      <c r="F565" s="2">
        <v>209</v>
      </c>
      <c r="G565" s="2">
        <v>245</v>
      </c>
      <c r="H565" s="2">
        <v>192</v>
      </c>
      <c r="I565" s="2">
        <v>245</v>
      </c>
      <c r="J565" s="3">
        <f t="shared" si="10"/>
        <v>1031</v>
      </c>
      <c r="L565" s="2" t="s">
        <v>6</v>
      </c>
      <c r="M565" s="3">
        <f>SUM(G562:G569)</f>
        <v>992</v>
      </c>
      <c r="O565" s="4"/>
      <c r="P565" s="3"/>
    </row>
    <row r="566" spans="1:16">
      <c r="A566" s="2" t="s">
        <v>817</v>
      </c>
      <c r="B566" s="2" t="s">
        <v>99</v>
      </c>
      <c r="C566" s="2" t="s">
        <v>823</v>
      </c>
      <c r="D566" s="2"/>
      <c r="E566" s="2">
        <v>187</v>
      </c>
      <c r="F566" s="2">
        <v>138</v>
      </c>
      <c r="G566" s="2"/>
      <c r="H566" s="2"/>
      <c r="I566" s="2"/>
      <c r="J566" s="3">
        <f t="shared" si="10"/>
        <v>325</v>
      </c>
      <c r="L566" s="2" t="s">
        <v>7</v>
      </c>
      <c r="M566" s="3">
        <f>SUM(H562:H569)</f>
        <v>1077</v>
      </c>
      <c r="O566" s="4"/>
      <c r="P566" s="3"/>
    </row>
    <row r="567" spans="1:16">
      <c r="A567" s="2" t="s">
        <v>817</v>
      </c>
      <c r="B567" s="2" t="s">
        <v>824</v>
      </c>
      <c r="C567" s="2" t="s">
        <v>825</v>
      </c>
      <c r="D567" s="2">
        <v>156</v>
      </c>
      <c r="E567" s="2"/>
      <c r="F567" s="2">
        <v>179</v>
      </c>
      <c r="G567" s="2">
        <v>200</v>
      </c>
      <c r="H567" s="2">
        <v>203</v>
      </c>
      <c r="I567" s="2">
        <v>177</v>
      </c>
      <c r="J567" s="3">
        <f t="shared" si="10"/>
        <v>915</v>
      </c>
      <c r="L567" s="2" t="s">
        <v>8</v>
      </c>
      <c r="M567" s="3">
        <f>SUM(I562:I569)</f>
        <v>975</v>
      </c>
      <c r="O567" s="4"/>
      <c r="P567" s="3"/>
    </row>
    <row r="568" spans="1:16">
      <c r="A568" s="2" t="s">
        <v>817</v>
      </c>
      <c r="B568" s="2" t="s">
        <v>92</v>
      </c>
      <c r="C568" s="2" t="s">
        <v>826</v>
      </c>
      <c r="D568" s="2"/>
      <c r="E568" s="2">
        <v>196</v>
      </c>
      <c r="F568" s="2"/>
      <c r="G568" s="2"/>
      <c r="H568" s="2">
        <v>252</v>
      </c>
      <c r="I568" s="2">
        <v>166</v>
      </c>
      <c r="J568" s="3">
        <f t="shared" si="10"/>
        <v>614</v>
      </c>
      <c r="L568" s="3"/>
      <c r="M568" s="3"/>
      <c r="O568" s="4"/>
      <c r="P568" s="3"/>
    </row>
    <row r="569" spans="1:16">
      <c r="A569" s="2" t="s">
        <v>817</v>
      </c>
      <c r="B569" s="2"/>
      <c r="C569" s="2"/>
      <c r="D569" s="2"/>
      <c r="E569" s="2"/>
      <c r="F569" s="2"/>
      <c r="G569" s="2"/>
      <c r="H569" s="2"/>
      <c r="I569" s="2"/>
      <c r="J569" s="3">
        <f t="shared" si="10"/>
        <v>0</v>
      </c>
      <c r="L569" s="2"/>
      <c r="M569" s="3"/>
      <c r="O569" s="4"/>
      <c r="P569" s="3"/>
    </row>
    <row r="570" spans="1:16">
      <c r="A570" s="6" t="s">
        <v>827</v>
      </c>
      <c r="B570" s="6" t="s">
        <v>326</v>
      </c>
      <c r="C570" s="6" t="s">
        <v>828</v>
      </c>
      <c r="D570" s="6"/>
      <c r="E570" s="6">
        <v>189</v>
      </c>
      <c r="F570" s="6">
        <v>150</v>
      </c>
      <c r="G570" s="6"/>
      <c r="H570" s="6">
        <v>164</v>
      </c>
      <c r="I570" s="6"/>
      <c r="J570" s="3">
        <f t="shared" si="10"/>
        <v>503</v>
      </c>
      <c r="L570" s="6" t="s">
        <v>3</v>
      </c>
      <c r="M570" s="7">
        <f>SUM(D570:D577)</f>
        <v>1077</v>
      </c>
      <c r="O570" s="8" t="str">
        <f>A570</f>
        <v>Webber International</v>
      </c>
      <c r="P570" s="7">
        <f>SUM(M570:M575)</f>
        <v>6105</v>
      </c>
    </row>
    <row r="571" spans="1:16">
      <c r="A571" s="6" t="s">
        <v>827</v>
      </c>
      <c r="B571" s="6" t="s">
        <v>99</v>
      </c>
      <c r="C571" s="6" t="s">
        <v>829</v>
      </c>
      <c r="D571" s="6"/>
      <c r="E571" s="6"/>
      <c r="F571" s="6"/>
      <c r="G571" s="6">
        <v>185</v>
      </c>
      <c r="H571" s="6">
        <v>247</v>
      </c>
      <c r="I571" s="6">
        <v>136</v>
      </c>
      <c r="J571" s="3">
        <f t="shared" si="10"/>
        <v>568</v>
      </c>
      <c r="L571" s="6" t="s">
        <v>4</v>
      </c>
      <c r="M571" s="7">
        <f>SUM(E570:E577)</f>
        <v>930</v>
      </c>
      <c r="O571" s="8"/>
      <c r="P571" s="7"/>
    </row>
    <row r="572" spans="1:16">
      <c r="A572" s="6" t="s">
        <v>827</v>
      </c>
      <c r="B572" s="6" t="s">
        <v>784</v>
      </c>
      <c r="C572" s="6" t="s">
        <v>160</v>
      </c>
      <c r="D572" s="6">
        <v>278</v>
      </c>
      <c r="E572" s="6">
        <v>197</v>
      </c>
      <c r="F572" s="6">
        <v>255</v>
      </c>
      <c r="G572" s="6">
        <v>229</v>
      </c>
      <c r="H572" s="6">
        <v>173</v>
      </c>
      <c r="I572" s="6">
        <v>255</v>
      </c>
      <c r="J572" s="3">
        <f t="shared" si="10"/>
        <v>1387</v>
      </c>
      <c r="L572" s="6" t="s">
        <v>5</v>
      </c>
      <c r="M572" s="7">
        <f>SUM(F570:F577)</f>
        <v>973</v>
      </c>
      <c r="O572" s="8"/>
      <c r="P572" s="7"/>
    </row>
    <row r="573" spans="1:16">
      <c r="A573" s="6" t="s">
        <v>827</v>
      </c>
      <c r="B573" s="6" t="s">
        <v>250</v>
      </c>
      <c r="C573" s="6" t="s">
        <v>830</v>
      </c>
      <c r="D573" s="6">
        <v>160</v>
      </c>
      <c r="E573" s="6">
        <v>199</v>
      </c>
      <c r="F573" s="6">
        <v>168</v>
      </c>
      <c r="G573" s="6"/>
      <c r="H573" s="6"/>
      <c r="I573" s="6">
        <v>245</v>
      </c>
      <c r="J573" s="3">
        <f t="shared" si="10"/>
        <v>772</v>
      </c>
      <c r="L573" s="6" t="s">
        <v>6</v>
      </c>
      <c r="M573" s="7">
        <f>SUM(G570:G577)</f>
        <v>959</v>
      </c>
      <c r="O573" s="8"/>
      <c r="P573" s="7"/>
    </row>
    <row r="574" spans="1:16">
      <c r="A574" s="6" t="s">
        <v>827</v>
      </c>
      <c r="B574" s="6" t="s">
        <v>831</v>
      </c>
      <c r="C574" s="6" t="s">
        <v>832</v>
      </c>
      <c r="D574" s="6">
        <v>246</v>
      </c>
      <c r="E574" s="6">
        <v>177</v>
      </c>
      <c r="F574" s="6">
        <v>221</v>
      </c>
      <c r="G574" s="6">
        <v>178</v>
      </c>
      <c r="H574" s="6">
        <v>238</v>
      </c>
      <c r="I574" s="6">
        <v>227</v>
      </c>
      <c r="J574" s="3">
        <f t="shared" si="10"/>
        <v>1287</v>
      </c>
      <c r="L574" s="6" t="s">
        <v>7</v>
      </c>
      <c r="M574" s="7">
        <f>SUM(H570:H577)</f>
        <v>1056</v>
      </c>
      <c r="O574" s="8"/>
      <c r="P574" s="7"/>
    </row>
    <row r="575" spans="1:16">
      <c r="A575" s="6" t="s">
        <v>827</v>
      </c>
      <c r="B575" s="6" t="s">
        <v>159</v>
      </c>
      <c r="C575" s="6" t="s">
        <v>833</v>
      </c>
      <c r="D575" s="6"/>
      <c r="E575" s="6"/>
      <c r="F575" s="6"/>
      <c r="G575" s="6">
        <v>175</v>
      </c>
      <c r="H575" s="6"/>
      <c r="I575" s="6"/>
      <c r="J575" s="3">
        <f t="shared" si="10"/>
        <v>175</v>
      </c>
      <c r="L575" s="6" t="s">
        <v>8</v>
      </c>
      <c r="M575" s="7">
        <f>SUM(I570:I577)</f>
        <v>1110</v>
      </c>
      <c r="O575" s="8"/>
      <c r="P575" s="7"/>
    </row>
    <row r="576" spans="1:16">
      <c r="A576" s="6" t="s">
        <v>827</v>
      </c>
      <c r="B576" s="6" t="s">
        <v>834</v>
      </c>
      <c r="C576" s="6" t="s">
        <v>835</v>
      </c>
      <c r="D576" s="6">
        <v>193</v>
      </c>
      <c r="E576" s="6"/>
      <c r="F576" s="6"/>
      <c r="G576" s="6"/>
      <c r="H576" s="6"/>
      <c r="I576" s="6"/>
      <c r="J576" s="3">
        <f t="shared" si="10"/>
        <v>193</v>
      </c>
      <c r="L576" s="6"/>
      <c r="M576" s="7"/>
      <c r="O576" s="8"/>
      <c r="P576" s="7"/>
    </row>
    <row r="577" spans="1:16">
      <c r="A577" s="6" t="s">
        <v>827</v>
      </c>
      <c r="B577" s="6" t="s">
        <v>836</v>
      </c>
      <c r="C577" s="6" t="s">
        <v>837</v>
      </c>
      <c r="D577" s="6">
        <v>200</v>
      </c>
      <c r="E577" s="6">
        <v>168</v>
      </c>
      <c r="F577" s="6">
        <v>179</v>
      </c>
      <c r="G577" s="6">
        <v>192</v>
      </c>
      <c r="H577" s="6">
        <v>234</v>
      </c>
      <c r="I577" s="6">
        <v>247</v>
      </c>
      <c r="J577" s="3">
        <f t="shared" si="10"/>
        <v>1220</v>
      </c>
      <c r="L577" s="6"/>
      <c r="M577" s="7"/>
      <c r="O577" s="8"/>
      <c r="P577" s="7"/>
    </row>
    <row r="578" spans="1:16">
      <c r="A578" s="2" t="s">
        <v>790</v>
      </c>
      <c r="B578" s="2" t="s">
        <v>206</v>
      </c>
      <c r="C578" s="2" t="s">
        <v>838</v>
      </c>
      <c r="D578" s="2"/>
      <c r="E578" s="2">
        <v>180</v>
      </c>
      <c r="F578" s="2">
        <v>221</v>
      </c>
      <c r="G578" s="2">
        <v>150</v>
      </c>
      <c r="H578" s="2">
        <v>173</v>
      </c>
      <c r="I578" s="2">
        <v>160</v>
      </c>
      <c r="J578" s="3">
        <f t="shared" si="10"/>
        <v>884</v>
      </c>
      <c r="L578" s="2" t="s">
        <v>3</v>
      </c>
      <c r="M578" s="3">
        <f>SUM(D578:D585)</f>
        <v>898</v>
      </c>
      <c r="O578" s="4" t="str">
        <f>A578</f>
        <v>Adrian</v>
      </c>
      <c r="P578" s="3">
        <f>SUM(M578:M583)</f>
        <v>5501</v>
      </c>
    </row>
    <row r="579" spans="1:16">
      <c r="A579" s="2" t="s">
        <v>790</v>
      </c>
      <c r="B579" s="2" t="s">
        <v>839</v>
      </c>
      <c r="C579" s="2" t="s">
        <v>374</v>
      </c>
      <c r="D579" s="2">
        <v>182</v>
      </c>
      <c r="E579" s="2">
        <v>221</v>
      </c>
      <c r="F579" s="2">
        <v>223</v>
      </c>
      <c r="G579" s="2">
        <v>268</v>
      </c>
      <c r="H579" s="2">
        <v>189</v>
      </c>
      <c r="I579" s="2">
        <v>207</v>
      </c>
      <c r="J579" s="3">
        <f t="shared" si="10"/>
        <v>1290</v>
      </c>
      <c r="L579" s="2" t="s">
        <v>4</v>
      </c>
      <c r="M579" s="3">
        <f>SUM(E578:E585)</f>
        <v>849</v>
      </c>
      <c r="O579" s="4"/>
      <c r="P579" s="3"/>
    </row>
    <row r="580" spans="1:16">
      <c r="A580" s="2" t="s">
        <v>790</v>
      </c>
      <c r="B580" s="2" t="s">
        <v>840</v>
      </c>
      <c r="C580" s="2" t="s">
        <v>841</v>
      </c>
      <c r="D580" s="2">
        <v>158</v>
      </c>
      <c r="E580" s="2">
        <v>141</v>
      </c>
      <c r="F580" s="2"/>
      <c r="G580" s="2"/>
      <c r="H580" s="2"/>
      <c r="I580" s="2"/>
      <c r="J580" s="3">
        <f t="shared" si="10"/>
        <v>299</v>
      </c>
      <c r="L580" s="2" t="s">
        <v>5</v>
      </c>
      <c r="M580" s="3">
        <f>SUM(F578:F585)</f>
        <v>1034</v>
      </c>
      <c r="O580" s="4"/>
      <c r="P580" s="3"/>
    </row>
    <row r="581" spans="1:16">
      <c r="A581" s="2" t="s">
        <v>790</v>
      </c>
      <c r="B581" s="2" t="s">
        <v>842</v>
      </c>
      <c r="C581" s="2" t="s">
        <v>843</v>
      </c>
      <c r="D581" s="2">
        <v>206</v>
      </c>
      <c r="E581" s="2">
        <v>144</v>
      </c>
      <c r="F581" s="2">
        <v>193</v>
      </c>
      <c r="G581" s="2">
        <v>169</v>
      </c>
      <c r="H581" s="2">
        <v>151</v>
      </c>
      <c r="I581" s="2">
        <v>183</v>
      </c>
      <c r="J581" s="3">
        <f t="shared" si="10"/>
        <v>1046</v>
      </c>
      <c r="L581" s="2" t="s">
        <v>6</v>
      </c>
      <c r="M581" s="3">
        <f>SUM(G578:G585)</f>
        <v>956</v>
      </c>
      <c r="O581" s="4"/>
      <c r="P581" s="3"/>
    </row>
    <row r="582" spans="1:16">
      <c r="A582" s="2" t="s">
        <v>790</v>
      </c>
      <c r="B582" s="2" t="s">
        <v>266</v>
      </c>
      <c r="C582" s="2" t="s">
        <v>844</v>
      </c>
      <c r="D582" s="2"/>
      <c r="E582" s="2"/>
      <c r="F582" s="2"/>
      <c r="G582" s="2"/>
      <c r="H582" s="2"/>
      <c r="I582" s="2"/>
      <c r="J582" s="3">
        <f t="shared" si="10"/>
        <v>0</v>
      </c>
      <c r="L582" s="2" t="s">
        <v>7</v>
      </c>
      <c r="M582" s="3">
        <f>SUM(H578:H585)</f>
        <v>864</v>
      </c>
      <c r="O582" s="4"/>
      <c r="P582" s="3"/>
    </row>
    <row r="583" spans="1:16">
      <c r="A583" s="2" t="s">
        <v>790</v>
      </c>
      <c r="B583" s="2" t="s">
        <v>313</v>
      </c>
      <c r="C583" s="2" t="s">
        <v>845</v>
      </c>
      <c r="D583" s="2">
        <v>184</v>
      </c>
      <c r="E583" s="2">
        <v>163</v>
      </c>
      <c r="F583" s="2">
        <v>175</v>
      </c>
      <c r="G583" s="2">
        <v>190</v>
      </c>
      <c r="H583" s="2">
        <v>182</v>
      </c>
      <c r="I583" s="2">
        <v>183</v>
      </c>
      <c r="J583" s="3">
        <f t="shared" si="10"/>
        <v>1077</v>
      </c>
      <c r="L583" s="2" t="s">
        <v>8</v>
      </c>
      <c r="M583" s="3">
        <f>SUM(I578:I585)</f>
        <v>900</v>
      </c>
      <c r="O583" s="4"/>
      <c r="P583" s="3"/>
    </row>
    <row r="584" spans="1:16">
      <c r="A584" s="2" t="s">
        <v>790</v>
      </c>
      <c r="B584" s="2" t="s">
        <v>159</v>
      </c>
      <c r="C584" s="2" t="s">
        <v>846</v>
      </c>
      <c r="D584" s="2">
        <v>168</v>
      </c>
      <c r="E584" s="2"/>
      <c r="F584" s="2">
        <v>222</v>
      </c>
      <c r="G584" s="2">
        <v>179</v>
      </c>
      <c r="H584" s="2">
        <v>169</v>
      </c>
      <c r="I584" s="2">
        <v>167</v>
      </c>
      <c r="J584" s="3">
        <f t="shared" si="10"/>
        <v>905</v>
      </c>
      <c r="L584" s="3"/>
      <c r="M584" s="3"/>
      <c r="O584" s="4"/>
      <c r="P584" s="3"/>
    </row>
    <row r="585" spans="1:16">
      <c r="A585" s="2" t="s">
        <v>790</v>
      </c>
      <c r="B585" s="2" t="s">
        <v>130</v>
      </c>
      <c r="C585" s="2" t="s">
        <v>847</v>
      </c>
      <c r="D585" s="2"/>
      <c r="E585" s="2"/>
      <c r="F585" s="2"/>
      <c r="G585" s="2"/>
      <c r="H585" s="2"/>
      <c r="I585" s="2"/>
      <c r="J585" s="3">
        <f t="shared" si="10"/>
        <v>0</v>
      </c>
      <c r="L585" s="2"/>
      <c r="M585" s="3"/>
      <c r="O585" s="4"/>
      <c r="P585" s="3"/>
    </row>
    <row r="586" spans="1:16">
      <c r="A586" s="6" t="s">
        <v>848</v>
      </c>
      <c r="B586" s="6" t="s">
        <v>493</v>
      </c>
      <c r="C586" s="6" t="s">
        <v>849</v>
      </c>
      <c r="D586" s="6">
        <v>128</v>
      </c>
      <c r="E586" s="6"/>
      <c r="F586" s="6">
        <v>176</v>
      </c>
      <c r="G586" s="6">
        <v>171</v>
      </c>
      <c r="H586" s="6">
        <v>224</v>
      </c>
      <c r="I586" s="6">
        <v>199</v>
      </c>
      <c r="J586" s="3">
        <f t="shared" si="10"/>
        <v>898</v>
      </c>
      <c r="L586" s="6" t="s">
        <v>3</v>
      </c>
      <c r="M586" s="7">
        <f>SUM(D586:D593)</f>
        <v>816</v>
      </c>
      <c r="O586" s="8" t="str">
        <f>A586</f>
        <v>Indiana</v>
      </c>
      <c r="P586" s="7">
        <f>SUM(M586:M591)</f>
        <v>5512</v>
      </c>
    </row>
    <row r="587" spans="1:16">
      <c r="A587" s="6" t="s">
        <v>848</v>
      </c>
      <c r="B587" s="6" t="s">
        <v>850</v>
      </c>
      <c r="C587" s="6" t="s">
        <v>851</v>
      </c>
      <c r="D587" s="6">
        <v>168</v>
      </c>
      <c r="E587" s="6">
        <v>194</v>
      </c>
      <c r="F587" s="6">
        <v>213</v>
      </c>
      <c r="G587" s="6">
        <v>186</v>
      </c>
      <c r="H587" s="6">
        <v>169</v>
      </c>
      <c r="I587" s="6">
        <v>151</v>
      </c>
      <c r="J587" s="3">
        <f t="shared" si="10"/>
        <v>1081</v>
      </c>
      <c r="L587" s="6" t="s">
        <v>4</v>
      </c>
      <c r="M587" s="7">
        <f>SUM(E586:E593)</f>
        <v>872</v>
      </c>
      <c r="O587" s="8"/>
      <c r="P587" s="7"/>
    </row>
    <row r="588" spans="1:16">
      <c r="A588" s="6" t="s">
        <v>848</v>
      </c>
      <c r="B588" s="6" t="s">
        <v>784</v>
      </c>
      <c r="C588" s="6" t="s">
        <v>852</v>
      </c>
      <c r="D588" s="6"/>
      <c r="E588" s="6"/>
      <c r="F588" s="6"/>
      <c r="G588" s="6"/>
      <c r="H588" s="6"/>
      <c r="I588" s="6"/>
      <c r="J588" s="3">
        <f t="shared" si="10"/>
        <v>0</v>
      </c>
      <c r="L588" s="6" t="s">
        <v>5</v>
      </c>
      <c r="M588" s="7">
        <f>SUM(F586:F593)</f>
        <v>913</v>
      </c>
      <c r="O588" s="8"/>
      <c r="P588" s="7"/>
    </row>
    <row r="589" spans="1:16">
      <c r="A589" s="6" t="s">
        <v>848</v>
      </c>
      <c r="B589" s="6" t="s">
        <v>853</v>
      </c>
      <c r="C589" s="6" t="s">
        <v>854</v>
      </c>
      <c r="D589" s="6">
        <v>187</v>
      </c>
      <c r="E589" s="6">
        <v>144</v>
      </c>
      <c r="F589" s="6"/>
      <c r="G589" s="6"/>
      <c r="H589" s="6">
        <v>234</v>
      </c>
      <c r="I589" s="6">
        <v>208</v>
      </c>
      <c r="J589" s="3">
        <f t="shared" si="10"/>
        <v>773</v>
      </c>
      <c r="L589" s="6" t="s">
        <v>6</v>
      </c>
      <c r="M589" s="7">
        <f>SUM(G586:G593)</f>
        <v>932</v>
      </c>
      <c r="O589" s="8"/>
      <c r="P589" s="7"/>
    </row>
    <row r="590" spans="1:16">
      <c r="A590" s="6" t="s">
        <v>848</v>
      </c>
      <c r="B590" s="6" t="s">
        <v>55</v>
      </c>
      <c r="C590" s="6" t="s">
        <v>610</v>
      </c>
      <c r="D590" s="6"/>
      <c r="E590" s="6"/>
      <c r="F590" s="6"/>
      <c r="G590" s="6"/>
      <c r="H590" s="6"/>
      <c r="I590" s="6"/>
      <c r="J590" s="3">
        <f t="shared" si="10"/>
        <v>0</v>
      </c>
      <c r="L590" s="6" t="s">
        <v>7</v>
      </c>
      <c r="M590" s="7">
        <f>SUM(H586:H593)</f>
        <v>1018</v>
      </c>
      <c r="O590" s="8"/>
      <c r="P590" s="7"/>
    </row>
    <row r="591" spans="1:16">
      <c r="A591" s="6" t="s">
        <v>848</v>
      </c>
      <c r="B591" s="6" t="s">
        <v>266</v>
      </c>
      <c r="C591" s="6" t="s">
        <v>691</v>
      </c>
      <c r="D591" s="6">
        <v>171</v>
      </c>
      <c r="E591" s="6">
        <v>177</v>
      </c>
      <c r="F591" s="6">
        <v>193</v>
      </c>
      <c r="G591" s="6">
        <v>206</v>
      </c>
      <c r="H591" s="6">
        <v>172</v>
      </c>
      <c r="I591" s="6">
        <v>239</v>
      </c>
      <c r="J591" s="3">
        <f t="shared" si="10"/>
        <v>1158</v>
      </c>
      <c r="L591" s="6" t="s">
        <v>8</v>
      </c>
      <c r="M591" s="7">
        <f>SUM(I586:I593)</f>
        <v>961</v>
      </c>
      <c r="O591" s="8"/>
      <c r="P591" s="7"/>
    </row>
    <row r="592" spans="1:16">
      <c r="A592" s="6" t="s">
        <v>848</v>
      </c>
      <c r="B592" s="6" t="s">
        <v>150</v>
      </c>
      <c r="C592" s="6" t="s">
        <v>48</v>
      </c>
      <c r="D592" s="6">
        <v>162</v>
      </c>
      <c r="E592" s="6">
        <v>176</v>
      </c>
      <c r="F592" s="6">
        <v>186</v>
      </c>
      <c r="G592" s="6">
        <v>208</v>
      </c>
      <c r="H592" s="6">
        <v>219</v>
      </c>
      <c r="I592" s="6">
        <v>164</v>
      </c>
      <c r="J592" s="3">
        <f t="shared" si="10"/>
        <v>1115</v>
      </c>
      <c r="L592" s="6"/>
      <c r="M592" s="7"/>
      <c r="O592" s="8"/>
      <c r="P592" s="7"/>
    </row>
    <row r="593" spans="1:16">
      <c r="A593" s="6" t="s">
        <v>848</v>
      </c>
      <c r="B593" s="6" t="s">
        <v>161</v>
      </c>
      <c r="C593" s="6" t="s">
        <v>855</v>
      </c>
      <c r="D593" s="6"/>
      <c r="E593" s="6">
        <v>181</v>
      </c>
      <c r="F593" s="6">
        <v>145</v>
      </c>
      <c r="G593" s="6">
        <v>161</v>
      </c>
      <c r="H593" s="6"/>
      <c r="I593" s="6"/>
      <c r="J593" s="3">
        <f t="shared" si="10"/>
        <v>487</v>
      </c>
      <c r="L593" s="6"/>
      <c r="M593" s="7"/>
      <c r="O593" s="8"/>
      <c r="P593" s="7"/>
    </row>
    <row r="594" spans="1:16">
      <c r="A594" s="2" t="s">
        <v>856</v>
      </c>
      <c r="B594" s="2" t="s">
        <v>857</v>
      </c>
      <c r="C594" s="2" t="s">
        <v>858</v>
      </c>
      <c r="D594" s="2">
        <v>202</v>
      </c>
      <c r="E594" s="2">
        <v>203</v>
      </c>
      <c r="F594" s="2">
        <v>183</v>
      </c>
      <c r="G594" s="2">
        <v>216</v>
      </c>
      <c r="H594" s="2">
        <v>154</v>
      </c>
      <c r="I594" s="2"/>
      <c r="J594" s="3">
        <f t="shared" si="10"/>
        <v>958</v>
      </c>
      <c r="L594" s="2" t="s">
        <v>3</v>
      </c>
      <c r="M594" s="3">
        <f>SUM(D594:D601)</f>
        <v>893</v>
      </c>
      <c r="O594" s="4" t="str">
        <f>A594</f>
        <v>McKendree</v>
      </c>
      <c r="P594" s="3">
        <f>SUM(M594:M599)</f>
        <v>5753</v>
      </c>
    </row>
    <row r="595" spans="1:16">
      <c r="A595" s="2" t="s">
        <v>856</v>
      </c>
      <c r="B595" s="2" t="s">
        <v>453</v>
      </c>
      <c r="C595" s="2" t="s">
        <v>859</v>
      </c>
      <c r="D595" s="2">
        <v>188</v>
      </c>
      <c r="E595" s="2">
        <v>181</v>
      </c>
      <c r="F595" s="2">
        <v>236</v>
      </c>
      <c r="G595" s="2">
        <v>179</v>
      </c>
      <c r="H595" s="2">
        <v>228</v>
      </c>
      <c r="I595" s="2">
        <v>196</v>
      </c>
      <c r="J595" s="3">
        <f t="shared" si="10"/>
        <v>1208</v>
      </c>
      <c r="L595" s="2" t="s">
        <v>4</v>
      </c>
      <c r="M595" s="3">
        <f>SUM(E594:E601)</f>
        <v>882</v>
      </c>
      <c r="O595" s="4"/>
      <c r="P595" s="3"/>
    </row>
    <row r="596" spans="1:16">
      <c r="A596" s="2" t="s">
        <v>856</v>
      </c>
      <c r="B596" s="2" t="s">
        <v>376</v>
      </c>
      <c r="C596" s="2" t="s">
        <v>723</v>
      </c>
      <c r="D596" s="2"/>
      <c r="E596" s="2">
        <v>148</v>
      </c>
      <c r="F596" s="2"/>
      <c r="G596" s="2"/>
      <c r="H596" s="2"/>
      <c r="I596" s="2"/>
      <c r="J596" s="3">
        <f t="shared" si="10"/>
        <v>148</v>
      </c>
      <c r="L596" s="2" t="s">
        <v>5</v>
      </c>
      <c r="M596" s="3">
        <f>SUM(F594:F601)</f>
        <v>1052</v>
      </c>
      <c r="O596" s="4"/>
      <c r="P596" s="3"/>
    </row>
    <row r="597" spans="1:16">
      <c r="A597" s="2" t="s">
        <v>856</v>
      </c>
      <c r="B597" s="2" t="s">
        <v>103</v>
      </c>
      <c r="C597" s="2" t="s">
        <v>126</v>
      </c>
      <c r="D597" s="2">
        <v>131</v>
      </c>
      <c r="E597" s="2"/>
      <c r="F597" s="2"/>
      <c r="G597" s="2"/>
      <c r="H597" s="2">
        <v>200</v>
      </c>
      <c r="I597" s="2">
        <v>213</v>
      </c>
      <c r="J597" s="3">
        <f t="shared" si="10"/>
        <v>544</v>
      </c>
      <c r="L597" s="2" t="s">
        <v>6</v>
      </c>
      <c r="M597" s="3">
        <f>SUM(G594:G601)</f>
        <v>961</v>
      </c>
      <c r="O597" s="4"/>
      <c r="P597" s="3"/>
    </row>
    <row r="598" spans="1:16">
      <c r="A598" s="2" t="s">
        <v>856</v>
      </c>
      <c r="B598" s="2" t="s">
        <v>860</v>
      </c>
      <c r="C598" s="2" t="s">
        <v>861</v>
      </c>
      <c r="D598" s="2">
        <v>182</v>
      </c>
      <c r="E598" s="2">
        <v>166</v>
      </c>
      <c r="F598" s="2">
        <v>221</v>
      </c>
      <c r="G598" s="2">
        <v>199</v>
      </c>
      <c r="H598" s="2">
        <v>209</v>
      </c>
      <c r="I598" s="2">
        <v>207</v>
      </c>
      <c r="J598" s="3">
        <f t="shared" si="10"/>
        <v>1184</v>
      </c>
      <c r="L598" s="2" t="s">
        <v>7</v>
      </c>
      <c r="M598" s="3">
        <f>SUM(H594:H601)</f>
        <v>959</v>
      </c>
      <c r="O598" s="4"/>
      <c r="P598" s="3"/>
    </row>
    <row r="599" spans="1:16">
      <c r="A599" s="2" t="s">
        <v>856</v>
      </c>
      <c r="B599" s="2" t="s">
        <v>92</v>
      </c>
      <c r="C599" s="2" t="s">
        <v>862</v>
      </c>
      <c r="D599" s="2"/>
      <c r="E599" s="2"/>
      <c r="F599" s="2">
        <v>208</v>
      </c>
      <c r="G599" s="2">
        <v>193</v>
      </c>
      <c r="H599" s="2">
        <v>168</v>
      </c>
      <c r="I599" s="2"/>
      <c r="J599" s="3">
        <f t="shared" si="10"/>
        <v>569</v>
      </c>
      <c r="L599" s="2" t="s">
        <v>8</v>
      </c>
      <c r="M599" s="3">
        <f>SUM(I594:I601)</f>
        <v>1006</v>
      </c>
      <c r="O599" s="4"/>
      <c r="P599" s="3"/>
    </row>
    <row r="600" spans="1:16">
      <c r="A600" s="2" t="s">
        <v>856</v>
      </c>
      <c r="B600" s="2" t="s">
        <v>863</v>
      </c>
      <c r="C600" s="2" t="s">
        <v>864</v>
      </c>
      <c r="D600" s="2"/>
      <c r="E600" s="2"/>
      <c r="F600" s="2"/>
      <c r="G600" s="2"/>
      <c r="H600" s="2"/>
      <c r="I600" s="2">
        <v>205</v>
      </c>
      <c r="J600" s="3">
        <f t="shared" si="10"/>
        <v>205</v>
      </c>
      <c r="L600" s="3"/>
      <c r="M600" s="3"/>
      <c r="O600" s="4"/>
      <c r="P600" s="3"/>
    </row>
    <row r="601" spans="1:16">
      <c r="A601" s="2" t="s">
        <v>856</v>
      </c>
      <c r="B601" s="2" t="s">
        <v>569</v>
      </c>
      <c r="C601" s="2" t="s">
        <v>60</v>
      </c>
      <c r="D601" s="2">
        <v>190</v>
      </c>
      <c r="E601" s="2">
        <v>184</v>
      </c>
      <c r="F601" s="2">
        <v>204</v>
      </c>
      <c r="G601" s="2">
        <v>174</v>
      </c>
      <c r="H601" s="2"/>
      <c r="I601" s="2">
        <v>185</v>
      </c>
      <c r="J601" s="3">
        <f t="shared" si="10"/>
        <v>937</v>
      </c>
      <c r="L601" s="2"/>
      <c r="M601" s="3"/>
      <c r="O601" s="4"/>
      <c r="P601" s="3"/>
    </row>
    <row r="602" spans="1:16">
      <c r="A602" s="6" t="s">
        <v>865</v>
      </c>
      <c r="B602" s="6" t="s">
        <v>45</v>
      </c>
      <c r="C602" s="6" t="s">
        <v>866</v>
      </c>
      <c r="D602" s="6"/>
      <c r="E602" s="6"/>
      <c r="F602" s="6"/>
      <c r="G602" s="6"/>
      <c r="H602" s="6"/>
      <c r="I602" s="6"/>
      <c r="J602" s="3">
        <f t="shared" si="10"/>
        <v>0</v>
      </c>
      <c r="L602" s="6" t="s">
        <v>3</v>
      </c>
      <c r="M602" s="7">
        <f>SUM(D602:D609)</f>
        <v>726</v>
      </c>
      <c r="O602" s="8" t="str">
        <f>A602</f>
        <v>Notre Dame - Indiana</v>
      </c>
      <c r="P602" s="7">
        <f>SUM(M602:M607)</f>
        <v>4362</v>
      </c>
    </row>
    <row r="603" spans="1:16">
      <c r="A603" s="6" t="s">
        <v>865</v>
      </c>
      <c r="B603" s="6" t="s">
        <v>250</v>
      </c>
      <c r="C603" s="6" t="s">
        <v>867</v>
      </c>
      <c r="D603" s="6">
        <v>189</v>
      </c>
      <c r="E603" s="6">
        <v>150</v>
      </c>
      <c r="F603" s="6">
        <v>147</v>
      </c>
      <c r="G603" s="6">
        <v>181</v>
      </c>
      <c r="H603" s="6">
        <v>189</v>
      </c>
      <c r="I603" s="6">
        <v>172</v>
      </c>
      <c r="J603" s="3">
        <f t="shared" si="10"/>
        <v>1028</v>
      </c>
      <c r="L603" s="6" t="s">
        <v>4</v>
      </c>
      <c r="M603" s="7">
        <f>SUM(E602:E609)</f>
        <v>644</v>
      </c>
      <c r="O603" s="8"/>
      <c r="P603" s="7"/>
    </row>
    <row r="604" spans="1:16">
      <c r="A604" s="6" t="s">
        <v>865</v>
      </c>
      <c r="B604" s="6" t="s">
        <v>210</v>
      </c>
      <c r="C604" s="6" t="s">
        <v>868</v>
      </c>
      <c r="D604" s="6">
        <v>117</v>
      </c>
      <c r="E604" s="6">
        <v>115</v>
      </c>
      <c r="F604" s="6">
        <v>127</v>
      </c>
      <c r="G604" s="6">
        <v>123</v>
      </c>
      <c r="H604" s="6"/>
      <c r="I604" s="6"/>
      <c r="J604" s="3">
        <f t="shared" si="10"/>
        <v>482</v>
      </c>
      <c r="L604" s="6" t="s">
        <v>5</v>
      </c>
      <c r="M604" s="7">
        <f>SUM(F602:F609)</f>
        <v>694</v>
      </c>
      <c r="O604" s="8"/>
      <c r="P604" s="7"/>
    </row>
    <row r="605" spans="1:16">
      <c r="A605" s="6" t="s">
        <v>865</v>
      </c>
      <c r="B605" s="6" t="s">
        <v>276</v>
      </c>
      <c r="C605" s="6" t="s">
        <v>869</v>
      </c>
      <c r="D605" s="6">
        <v>130</v>
      </c>
      <c r="E605" s="6"/>
      <c r="F605" s="6">
        <v>110</v>
      </c>
      <c r="G605" s="6"/>
      <c r="H605" s="6">
        <v>137</v>
      </c>
      <c r="I605" s="6">
        <v>120</v>
      </c>
      <c r="J605" s="3">
        <f t="shared" si="10"/>
        <v>497</v>
      </c>
      <c r="L605" s="6" t="s">
        <v>6</v>
      </c>
      <c r="M605" s="7">
        <f>SUM(G602:G609)</f>
        <v>752</v>
      </c>
      <c r="O605" s="8"/>
      <c r="P605" s="7"/>
    </row>
    <row r="606" spans="1:16">
      <c r="A606" s="6" t="s">
        <v>865</v>
      </c>
      <c r="B606" s="6" t="s">
        <v>870</v>
      </c>
      <c r="C606" s="6" t="s">
        <v>43</v>
      </c>
      <c r="D606" s="6">
        <v>145</v>
      </c>
      <c r="E606" s="6">
        <v>115</v>
      </c>
      <c r="F606" s="6"/>
      <c r="G606" s="6">
        <v>132</v>
      </c>
      <c r="H606" s="6">
        <v>146</v>
      </c>
      <c r="I606" s="6">
        <v>125</v>
      </c>
      <c r="J606" s="3">
        <f t="shared" si="10"/>
        <v>663</v>
      </c>
      <c r="L606" s="6" t="s">
        <v>7</v>
      </c>
      <c r="M606" s="7">
        <f>SUM(H602:H609)</f>
        <v>818</v>
      </c>
      <c r="O606" s="8"/>
      <c r="P606" s="7"/>
    </row>
    <row r="607" spans="1:16">
      <c r="A607" s="6" t="s">
        <v>865</v>
      </c>
      <c r="B607" s="6" t="s">
        <v>97</v>
      </c>
      <c r="C607" s="6" t="s">
        <v>871</v>
      </c>
      <c r="D607" s="6">
        <v>145</v>
      </c>
      <c r="E607" s="6">
        <v>125</v>
      </c>
      <c r="F607" s="6">
        <v>158</v>
      </c>
      <c r="G607" s="6">
        <v>181</v>
      </c>
      <c r="H607" s="6">
        <v>179</v>
      </c>
      <c r="I607" s="6">
        <v>146</v>
      </c>
      <c r="J607" s="3">
        <f t="shared" si="10"/>
        <v>934</v>
      </c>
      <c r="L607" s="6" t="s">
        <v>8</v>
      </c>
      <c r="M607" s="7">
        <f>SUM(I602:I609)</f>
        <v>728</v>
      </c>
      <c r="O607" s="8"/>
      <c r="P607" s="7"/>
    </row>
    <row r="608" spans="1:16">
      <c r="A608" s="6" t="s">
        <v>865</v>
      </c>
      <c r="B608" s="6" t="s">
        <v>124</v>
      </c>
      <c r="C608" s="6" t="s">
        <v>872</v>
      </c>
      <c r="D608" s="6"/>
      <c r="E608" s="6">
        <v>139</v>
      </c>
      <c r="F608" s="6">
        <v>152</v>
      </c>
      <c r="G608" s="6">
        <v>135</v>
      </c>
      <c r="H608" s="6">
        <v>167</v>
      </c>
      <c r="I608" s="6">
        <v>165</v>
      </c>
      <c r="J608" s="3">
        <f t="shared" si="10"/>
        <v>758</v>
      </c>
      <c r="L608" s="6"/>
      <c r="M608" s="7"/>
      <c r="O608" s="8"/>
      <c r="P608" s="7"/>
    </row>
    <row r="609" spans="1:16">
      <c r="A609" s="6" t="s">
        <v>865</v>
      </c>
      <c r="B609" s="6" t="s">
        <v>873</v>
      </c>
      <c r="C609" s="6" t="s">
        <v>874</v>
      </c>
      <c r="D609" s="6"/>
      <c r="E609" s="6"/>
      <c r="F609" s="6"/>
      <c r="G609" s="6"/>
      <c r="H609" s="6"/>
      <c r="I609" s="6"/>
      <c r="J609" s="3">
        <f t="shared" si="10"/>
        <v>0</v>
      </c>
      <c r="L609" s="6"/>
      <c r="M609" s="7"/>
      <c r="O609" s="8"/>
      <c r="P609" s="7"/>
    </row>
    <row r="610" spans="1:16">
      <c r="A610" s="2" t="s">
        <v>875</v>
      </c>
      <c r="B610" s="2" t="s">
        <v>99</v>
      </c>
      <c r="C610" s="2" t="s">
        <v>876</v>
      </c>
      <c r="D610" s="2">
        <v>185</v>
      </c>
      <c r="E610" s="2">
        <v>150</v>
      </c>
      <c r="F610" s="2">
        <v>187</v>
      </c>
      <c r="G610" s="2">
        <v>138</v>
      </c>
      <c r="H610" s="2"/>
      <c r="I610" s="2">
        <v>165</v>
      </c>
      <c r="J610" s="3">
        <f t="shared" si="10"/>
        <v>825</v>
      </c>
      <c r="L610" s="2" t="s">
        <v>3</v>
      </c>
      <c r="M610" s="3">
        <f>SUM(D610:D617)</f>
        <v>975</v>
      </c>
      <c r="O610" s="4" t="str">
        <f>A610</f>
        <v>Ohio State</v>
      </c>
      <c r="P610" s="3">
        <f>SUM(M610:M615)</f>
        <v>5557</v>
      </c>
    </row>
    <row r="611" spans="1:16">
      <c r="A611" s="2" t="s">
        <v>875</v>
      </c>
      <c r="B611" s="2" t="s">
        <v>170</v>
      </c>
      <c r="C611" s="2" t="s">
        <v>877</v>
      </c>
      <c r="D611" s="2"/>
      <c r="E611" s="2"/>
      <c r="F611" s="2">
        <v>165</v>
      </c>
      <c r="G611" s="2"/>
      <c r="H611" s="2"/>
      <c r="I611" s="2"/>
      <c r="J611" s="3">
        <f t="shared" ref="J611:J625" si="11">SUM(D611:I611)</f>
        <v>165</v>
      </c>
      <c r="L611" s="2" t="s">
        <v>4</v>
      </c>
      <c r="M611" s="3">
        <f>SUM(E610:E617)</f>
        <v>889</v>
      </c>
      <c r="O611" s="4"/>
      <c r="P611" s="3"/>
    </row>
    <row r="612" spans="1:16">
      <c r="A612" s="2" t="s">
        <v>875</v>
      </c>
      <c r="B612" s="2" t="s">
        <v>79</v>
      </c>
      <c r="C612" s="2" t="s">
        <v>878</v>
      </c>
      <c r="D612" s="2"/>
      <c r="E612" s="2"/>
      <c r="F612" s="2"/>
      <c r="G612" s="2">
        <v>202</v>
      </c>
      <c r="H612" s="2">
        <v>174</v>
      </c>
      <c r="I612" s="2">
        <v>177</v>
      </c>
      <c r="J612" s="3">
        <f t="shared" si="11"/>
        <v>553</v>
      </c>
      <c r="L612" s="2" t="s">
        <v>5</v>
      </c>
      <c r="M612" s="3">
        <f>SUM(F610:F617)</f>
        <v>924</v>
      </c>
      <c r="O612" s="4"/>
      <c r="P612" s="3"/>
    </row>
    <row r="613" spans="1:16">
      <c r="A613" s="2" t="s">
        <v>875</v>
      </c>
      <c r="B613" s="2" t="s">
        <v>32</v>
      </c>
      <c r="C613" s="2" t="s">
        <v>879</v>
      </c>
      <c r="D613" s="2">
        <v>203</v>
      </c>
      <c r="E613" s="2">
        <v>199</v>
      </c>
      <c r="F613" s="2">
        <v>201</v>
      </c>
      <c r="G613" s="2">
        <v>189</v>
      </c>
      <c r="H613" s="2">
        <v>223</v>
      </c>
      <c r="I613" s="2">
        <v>206</v>
      </c>
      <c r="J613" s="3">
        <f t="shared" si="11"/>
        <v>1221</v>
      </c>
      <c r="L613" s="2" t="s">
        <v>6</v>
      </c>
      <c r="M613" s="3">
        <f>SUM(G610:G617)</f>
        <v>941</v>
      </c>
      <c r="O613" s="4"/>
      <c r="P613" s="3"/>
    </row>
    <row r="614" spans="1:16">
      <c r="A614" s="2" t="s">
        <v>875</v>
      </c>
      <c r="B614" s="2" t="s">
        <v>136</v>
      </c>
      <c r="C614" s="2" t="s">
        <v>880</v>
      </c>
      <c r="D614" s="2">
        <v>201</v>
      </c>
      <c r="E614" s="2">
        <v>156</v>
      </c>
      <c r="F614" s="2"/>
      <c r="G614" s="2"/>
      <c r="H614" s="2">
        <v>163</v>
      </c>
      <c r="I614" s="2"/>
      <c r="J614" s="3">
        <f t="shared" si="11"/>
        <v>520</v>
      </c>
      <c r="L614" s="2" t="s">
        <v>7</v>
      </c>
      <c r="M614" s="3">
        <f>SUM(H610:H617)</f>
        <v>897</v>
      </c>
      <c r="O614" s="4"/>
      <c r="P614" s="3"/>
    </row>
    <row r="615" spans="1:16">
      <c r="A615" s="2" t="s">
        <v>875</v>
      </c>
      <c r="B615" s="2" t="s">
        <v>92</v>
      </c>
      <c r="C615" s="2" t="s">
        <v>881</v>
      </c>
      <c r="D615" s="2">
        <v>193</v>
      </c>
      <c r="E615" s="2">
        <v>188</v>
      </c>
      <c r="F615" s="2">
        <v>193</v>
      </c>
      <c r="G615" s="2">
        <v>207</v>
      </c>
      <c r="H615" s="2">
        <v>179</v>
      </c>
      <c r="I615" s="2">
        <v>232</v>
      </c>
      <c r="J615" s="3">
        <f t="shared" si="11"/>
        <v>1192</v>
      </c>
      <c r="L615" s="2" t="s">
        <v>8</v>
      </c>
      <c r="M615" s="3">
        <f>SUM(I610:I617)</f>
        <v>931</v>
      </c>
      <c r="O615" s="4"/>
      <c r="P615" s="3"/>
    </row>
    <row r="616" spans="1:16">
      <c r="A616" s="2" t="s">
        <v>875</v>
      </c>
      <c r="B616" s="2" t="s">
        <v>59</v>
      </c>
      <c r="C616" s="2" t="s">
        <v>882</v>
      </c>
      <c r="D616" s="2">
        <v>193</v>
      </c>
      <c r="E616" s="2">
        <v>196</v>
      </c>
      <c r="F616" s="2">
        <v>178</v>
      </c>
      <c r="G616" s="2">
        <v>205</v>
      </c>
      <c r="H616" s="2">
        <v>158</v>
      </c>
      <c r="I616" s="2">
        <v>151</v>
      </c>
      <c r="J616" s="3">
        <f t="shared" si="11"/>
        <v>1081</v>
      </c>
      <c r="L616" s="3"/>
      <c r="M616" s="3"/>
      <c r="O616" s="4"/>
      <c r="P616" s="3"/>
    </row>
    <row r="617" spans="1:16">
      <c r="A617" s="2" t="s">
        <v>875</v>
      </c>
      <c r="B617" s="2"/>
      <c r="C617" s="2"/>
      <c r="D617" s="2"/>
      <c r="E617" s="2"/>
      <c r="F617" s="2"/>
      <c r="G617" s="2"/>
      <c r="H617" s="2"/>
      <c r="I617" s="2"/>
      <c r="J617" s="3">
        <f t="shared" si="11"/>
        <v>0</v>
      </c>
      <c r="L617" s="2"/>
      <c r="M617" s="3"/>
      <c r="O617" s="4"/>
      <c r="P617" s="3"/>
    </row>
    <row r="618" spans="1:16">
      <c r="A618" s="6" t="s">
        <v>883</v>
      </c>
      <c r="B618" s="6" t="s">
        <v>45</v>
      </c>
      <c r="C618" s="6" t="s">
        <v>884</v>
      </c>
      <c r="D618" s="6">
        <v>210</v>
      </c>
      <c r="E618" s="6">
        <v>213</v>
      </c>
      <c r="F618" s="6">
        <v>172</v>
      </c>
      <c r="G618" s="6">
        <v>223</v>
      </c>
      <c r="H618" s="6">
        <v>299</v>
      </c>
      <c r="I618" s="6">
        <v>196</v>
      </c>
      <c r="J618" s="3">
        <f t="shared" si="11"/>
        <v>1313</v>
      </c>
      <c r="L618" s="6" t="s">
        <v>3</v>
      </c>
      <c r="M618" s="7">
        <f>SUM(D618:D625)</f>
        <v>1059</v>
      </c>
      <c r="O618" s="8" t="str">
        <f>A618</f>
        <v>William Paterson</v>
      </c>
      <c r="P618" s="7">
        <f>SUM(M618:M623)</f>
        <v>6132</v>
      </c>
    </row>
    <row r="619" spans="1:16">
      <c r="A619" s="6" t="s">
        <v>883</v>
      </c>
      <c r="B619" s="6" t="s">
        <v>170</v>
      </c>
      <c r="C619" s="6" t="s">
        <v>885</v>
      </c>
      <c r="D619" s="6">
        <v>0</v>
      </c>
      <c r="E619" s="6"/>
      <c r="F619" s="6">
        <v>159</v>
      </c>
      <c r="G619" s="6">
        <v>222</v>
      </c>
      <c r="H619" s="6">
        <v>168</v>
      </c>
      <c r="I619" s="6"/>
      <c r="J619" s="3">
        <f t="shared" si="11"/>
        <v>549</v>
      </c>
      <c r="L619" s="6" t="s">
        <v>4</v>
      </c>
      <c r="M619" s="7">
        <f>SUM(E618:E625)</f>
        <v>884</v>
      </c>
      <c r="O619" s="8"/>
      <c r="P619" s="7"/>
    </row>
    <row r="620" spans="1:16">
      <c r="A620" s="6" t="s">
        <v>883</v>
      </c>
      <c r="B620" s="6" t="s">
        <v>344</v>
      </c>
      <c r="C620" s="6" t="s">
        <v>886</v>
      </c>
      <c r="D620" s="6">
        <v>202</v>
      </c>
      <c r="E620" s="6">
        <v>170</v>
      </c>
      <c r="F620" s="6">
        <v>160</v>
      </c>
      <c r="G620" s="6">
        <v>232</v>
      </c>
      <c r="H620" s="6">
        <v>224</v>
      </c>
      <c r="I620" s="6">
        <v>168</v>
      </c>
      <c r="J620" s="3">
        <f t="shared" si="11"/>
        <v>1156</v>
      </c>
      <c r="L620" s="6" t="s">
        <v>5</v>
      </c>
      <c r="M620" s="7">
        <f>SUM(F618:F625)</f>
        <v>886</v>
      </c>
      <c r="O620" s="8"/>
      <c r="P620" s="7"/>
    </row>
    <row r="621" spans="1:16">
      <c r="A621" s="6" t="s">
        <v>883</v>
      </c>
      <c r="B621" s="6" t="s">
        <v>313</v>
      </c>
      <c r="C621" s="6" t="s">
        <v>809</v>
      </c>
      <c r="D621" s="6">
        <v>229</v>
      </c>
      <c r="E621" s="6">
        <v>158</v>
      </c>
      <c r="F621" s="6">
        <v>193</v>
      </c>
      <c r="G621" s="6">
        <v>243</v>
      </c>
      <c r="H621" s="6">
        <v>227</v>
      </c>
      <c r="I621" s="6">
        <v>223</v>
      </c>
      <c r="J621" s="3">
        <f t="shared" si="11"/>
        <v>1273</v>
      </c>
      <c r="L621" s="6" t="s">
        <v>6</v>
      </c>
      <c r="M621" s="7">
        <f>SUM(G618:G625)</f>
        <v>1159</v>
      </c>
      <c r="O621" s="8"/>
      <c r="P621" s="7"/>
    </row>
    <row r="622" spans="1:16">
      <c r="A622" s="6" t="s">
        <v>883</v>
      </c>
      <c r="B622" s="6" t="s">
        <v>23</v>
      </c>
      <c r="C622" s="6" t="s">
        <v>887</v>
      </c>
      <c r="D622" s="6"/>
      <c r="E622" s="6"/>
      <c r="F622" s="6"/>
      <c r="G622" s="6"/>
      <c r="H622" s="6"/>
      <c r="I622" s="6"/>
      <c r="J622" s="3">
        <f t="shared" si="11"/>
        <v>0</v>
      </c>
      <c r="L622" s="6" t="s">
        <v>7</v>
      </c>
      <c r="M622" s="7">
        <f>SUM(H618:H625)</f>
        <v>1155</v>
      </c>
      <c r="O622" s="8"/>
      <c r="P622" s="7"/>
    </row>
    <row r="623" spans="1:16">
      <c r="A623" s="6" t="s">
        <v>883</v>
      </c>
      <c r="B623" s="6"/>
      <c r="C623" s="6"/>
      <c r="D623" s="6"/>
      <c r="E623" s="6"/>
      <c r="F623" s="6"/>
      <c r="G623" s="6"/>
      <c r="H623" s="6"/>
      <c r="I623" s="6"/>
      <c r="J623" s="3">
        <f t="shared" si="11"/>
        <v>0</v>
      </c>
      <c r="L623" s="6" t="s">
        <v>8</v>
      </c>
      <c r="M623" s="7">
        <f>SUM(I618:I625)</f>
        <v>989</v>
      </c>
      <c r="O623" s="8"/>
      <c r="P623" s="7"/>
    </row>
    <row r="624" spans="1:16">
      <c r="A624" s="6" t="s">
        <v>883</v>
      </c>
      <c r="B624" s="6" t="s">
        <v>888</v>
      </c>
      <c r="C624" s="6" t="s">
        <v>889</v>
      </c>
      <c r="D624" s="6">
        <v>256</v>
      </c>
      <c r="E624" s="6">
        <v>185</v>
      </c>
      <c r="F624" s="6">
        <v>202</v>
      </c>
      <c r="G624" s="6">
        <v>239</v>
      </c>
      <c r="H624" s="6">
        <v>237</v>
      </c>
      <c r="I624" s="6">
        <v>214</v>
      </c>
      <c r="J624" s="3">
        <f t="shared" si="11"/>
        <v>1333</v>
      </c>
      <c r="L624" s="6"/>
      <c r="M624" s="7"/>
      <c r="O624" s="8"/>
      <c r="P624" s="7"/>
    </row>
    <row r="625" spans="1:16">
      <c r="A625" s="6" t="s">
        <v>883</v>
      </c>
      <c r="B625" s="6" t="s">
        <v>888</v>
      </c>
      <c r="C625" s="6" t="s">
        <v>890</v>
      </c>
      <c r="D625" s="6">
        <v>162</v>
      </c>
      <c r="E625" s="6">
        <v>158</v>
      </c>
      <c r="F625" s="6"/>
      <c r="G625" s="6"/>
      <c r="H625" s="6"/>
      <c r="I625" s="6">
        <v>188</v>
      </c>
      <c r="J625" s="3">
        <f t="shared" si="11"/>
        <v>508</v>
      </c>
      <c r="L625" s="6"/>
      <c r="M625" s="7"/>
      <c r="O625" s="8"/>
      <c r="P625" s="7"/>
    </row>
  </sheetData>
  <mergeCells count="1">
    <mergeCell ref="O1:P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tabSelected="1" workbookViewId="0">
      <selection activeCell="J29" sqref="A1:J29"/>
    </sheetView>
  </sheetViews>
  <sheetFormatPr defaultRowHeight="20.100000000000001" customHeight="1"/>
  <cols>
    <col min="1" max="1" width="3.7109375" customWidth="1"/>
    <col min="2" max="2" width="44" style="74" bestFit="1" customWidth="1"/>
    <col min="3" max="3" width="3.7109375" style="61" customWidth="1"/>
    <col min="4" max="4" width="27.28515625" style="57" bestFit="1" customWidth="1"/>
    <col min="5" max="5" width="3.7109375" customWidth="1"/>
    <col min="6" max="6" width="27.85546875" bestFit="1" customWidth="1"/>
    <col min="7" max="7" width="8.42578125" customWidth="1"/>
    <col min="9" max="9" width="18.140625" customWidth="1"/>
  </cols>
  <sheetData>
    <row r="1" spans="1:12" ht="15">
      <c r="A1" s="81" t="s">
        <v>1572</v>
      </c>
      <c r="B1" s="81"/>
      <c r="C1" s="81"/>
      <c r="D1" s="81"/>
      <c r="E1" s="81"/>
      <c r="F1" s="81"/>
      <c r="G1" s="50"/>
    </row>
    <row r="2" spans="1:12" ht="15">
      <c r="A2" s="81"/>
      <c r="B2" s="81"/>
      <c r="C2" s="81"/>
      <c r="D2" s="81"/>
      <c r="E2" s="81"/>
      <c r="F2" s="81"/>
      <c r="G2" s="50"/>
    </row>
    <row r="3" spans="1:12" ht="15.75" thickBot="1">
      <c r="A3" s="51" t="s">
        <v>1567</v>
      </c>
      <c r="B3" s="52" t="s">
        <v>1568</v>
      </c>
      <c r="C3" s="53" t="s">
        <v>1567</v>
      </c>
      <c r="D3" s="52" t="s">
        <v>1569</v>
      </c>
      <c r="E3" s="51" t="s">
        <v>1567</v>
      </c>
      <c r="F3" s="52" t="s">
        <v>1570</v>
      </c>
    </row>
    <row r="4" spans="1:12" ht="16.5" thickBot="1">
      <c r="A4" s="54">
        <v>73</v>
      </c>
      <c r="B4" s="55" t="s">
        <v>1577</v>
      </c>
      <c r="C4" s="56"/>
      <c r="E4" s="54"/>
      <c r="F4" s="58"/>
    </row>
    <row r="5" spans="1:12" ht="16.5" thickBot="1">
      <c r="A5" s="54"/>
      <c r="B5" s="59"/>
      <c r="C5" s="56">
        <v>75</v>
      </c>
      <c r="D5" s="55" t="s">
        <v>1597</v>
      </c>
      <c r="E5" s="54"/>
    </row>
    <row r="6" spans="1:12" ht="16.5" thickBot="1">
      <c r="A6" s="54">
        <v>74</v>
      </c>
      <c r="B6" s="55" t="s">
        <v>1578</v>
      </c>
      <c r="C6" s="56"/>
      <c r="D6" s="60"/>
      <c r="E6" s="56"/>
      <c r="F6" s="61"/>
    </row>
    <row r="7" spans="1:12" ht="24" thickBot="1">
      <c r="A7" s="54"/>
      <c r="B7" s="62"/>
      <c r="C7" s="56"/>
      <c r="D7" s="63"/>
      <c r="E7" s="56">
        <v>73</v>
      </c>
      <c r="F7" s="55" t="s">
        <v>1599</v>
      </c>
      <c r="L7" s="64"/>
    </row>
    <row r="8" spans="1:12" ht="16.5" thickBot="1">
      <c r="A8" s="54">
        <v>71</v>
      </c>
      <c r="B8" s="55" t="s">
        <v>1575</v>
      </c>
      <c r="C8" s="56"/>
      <c r="D8" s="65"/>
      <c r="E8" s="56"/>
      <c r="F8" s="60"/>
    </row>
    <row r="9" spans="1:12" ht="16.5" thickBot="1">
      <c r="A9" s="54"/>
      <c r="B9" s="59"/>
      <c r="C9" s="56">
        <v>76</v>
      </c>
      <c r="D9" s="55" t="s">
        <v>1598</v>
      </c>
      <c r="E9" s="56"/>
      <c r="F9" s="61"/>
    </row>
    <row r="10" spans="1:12" ht="16.5" thickBot="1">
      <c r="A10" s="54">
        <v>72</v>
      </c>
      <c r="B10" s="55" t="s">
        <v>1576</v>
      </c>
      <c r="C10" s="56"/>
      <c r="D10" s="66"/>
      <c r="E10" s="56"/>
      <c r="G10" s="67" t="s">
        <v>1573</v>
      </c>
    </row>
    <row r="11" spans="1:12" ht="16.5" thickBot="1">
      <c r="A11" s="54"/>
      <c r="B11" s="62"/>
      <c r="C11" s="56"/>
      <c r="D11" s="65"/>
      <c r="E11" s="56"/>
      <c r="G11" s="82" t="s">
        <v>1574</v>
      </c>
      <c r="H11" s="83"/>
      <c r="I11" s="84"/>
    </row>
    <row r="12" spans="1:12" ht="16.5" thickBot="1">
      <c r="A12" s="54">
        <v>77</v>
      </c>
      <c r="B12" s="55" t="s">
        <v>1581</v>
      </c>
      <c r="C12" s="56"/>
      <c r="D12" s="65"/>
      <c r="E12" s="56"/>
      <c r="F12" s="71"/>
      <c r="G12" s="58"/>
    </row>
    <row r="13" spans="1:12" ht="16.5" thickBot="1">
      <c r="A13" s="54"/>
      <c r="B13" s="59"/>
      <c r="C13" s="56">
        <v>71</v>
      </c>
      <c r="D13" s="55" t="s">
        <v>1595</v>
      </c>
      <c r="E13" s="56"/>
      <c r="F13" s="71"/>
      <c r="H13" s="66"/>
      <c r="I13" s="72"/>
      <c r="J13" s="72"/>
    </row>
    <row r="14" spans="1:12" ht="16.5" thickBot="1">
      <c r="A14" s="54">
        <v>78</v>
      </c>
      <c r="B14" s="55" t="s">
        <v>1582</v>
      </c>
      <c r="C14" s="56"/>
      <c r="D14" s="66"/>
      <c r="E14" s="56"/>
      <c r="F14" s="71"/>
      <c r="H14" s="66"/>
      <c r="I14" s="72"/>
      <c r="J14" s="72"/>
    </row>
    <row r="15" spans="1:12" ht="16.5" thickBot="1">
      <c r="A15" s="54"/>
      <c r="B15" s="62"/>
      <c r="C15" s="56"/>
      <c r="D15" s="63"/>
      <c r="E15" s="56">
        <v>74</v>
      </c>
      <c r="F15" s="55" t="s">
        <v>1600</v>
      </c>
      <c r="H15" s="72"/>
      <c r="I15" s="72"/>
      <c r="J15" s="72"/>
    </row>
    <row r="16" spans="1:12" ht="16.5" thickBot="1">
      <c r="A16" s="54">
        <v>75</v>
      </c>
      <c r="B16" s="55" t="s">
        <v>1579</v>
      </c>
      <c r="C16" s="56"/>
      <c r="D16" s="58"/>
      <c r="E16" s="54"/>
      <c r="F16" s="73"/>
    </row>
    <row r="17" spans="1:6" ht="16.5" thickBot="1">
      <c r="A17" s="54"/>
      <c r="B17" s="59"/>
      <c r="C17" s="56">
        <v>72</v>
      </c>
      <c r="D17" s="55" t="s">
        <v>1596</v>
      </c>
      <c r="E17" s="54"/>
      <c r="F17" s="57"/>
    </row>
    <row r="18" spans="1:6" ht="16.5" thickBot="1">
      <c r="A18" s="54">
        <v>76</v>
      </c>
      <c r="B18" s="55" t="s">
        <v>1580</v>
      </c>
      <c r="C18" s="56"/>
      <c r="D18" s="73"/>
      <c r="E18" s="54"/>
    </row>
    <row r="19" spans="1:6" ht="15">
      <c r="A19" s="54"/>
      <c r="B19" s="62"/>
      <c r="C19" s="56"/>
      <c r="E19" s="54"/>
    </row>
    <row r="20" spans="1:6" ht="15.75">
      <c r="A20" s="54"/>
      <c r="C20" s="56"/>
      <c r="E20" s="54"/>
    </row>
    <row r="21" spans="1:6" ht="15.75">
      <c r="A21" s="54"/>
      <c r="C21" s="56"/>
      <c r="E21" s="54"/>
    </row>
    <row r="22" spans="1:6" ht="15.75">
      <c r="A22" s="54"/>
      <c r="C22" s="56"/>
      <c r="E22" s="54"/>
    </row>
    <row r="23" spans="1:6" ht="15.75">
      <c r="A23" s="54"/>
      <c r="C23" s="56"/>
      <c r="E23" s="54"/>
    </row>
    <row r="24" spans="1:6" ht="15.75">
      <c r="A24" s="54"/>
      <c r="C24" s="56"/>
      <c r="E24" s="54"/>
    </row>
    <row r="25" spans="1:6" ht="15.75">
      <c r="A25" s="54"/>
      <c r="C25" s="56"/>
      <c r="E25" s="54"/>
    </row>
    <row r="26" spans="1:6" ht="15.75">
      <c r="A26" s="54"/>
      <c r="C26" s="56"/>
      <c r="E26" s="54"/>
      <c r="F26" s="75"/>
    </row>
  </sheetData>
  <mergeCells count="2">
    <mergeCell ref="A1:F2"/>
    <mergeCell ref="G11:I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9"/>
  <sheetViews>
    <sheetView workbookViewId="0">
      <selection sqref="A1:XFD1048576"/>
    </sheetView>
  </sheetViews>
  <sheetFormatPr defaultColWidth="17" defaultRowHeight="15"/>
  <cols>
    <col min="1" max="1" width="26" style="5" bestFit="1" customWidth="1"/>
    <col min="2" max="2" width="12.42578125" style="5" bestFit="1" customWidth="1"/>
    <col min="3" max="3" width="14.85546875" style="5" bestFit="1" customWidth="1"/>
    <col min="4" max="9" width="7.7109375" style="5" bestFit="1" customWidth="1"/>
    <col min="10" max="10" width="15.7109375" style="1" bestFit="1" customWidth="1"/>
    <col min="11" max="11" width="4.7109375" customWidth="1"/>
    <col min="12" max="12" width="7.5703125" style="5" bestFit="1" customWidth="1"/>
    <col min="13" max="13" width="10.7109375" style="1" bestFit="1" customWidth="1"/>
    <col min="14" max="14" width="5.28515625" customWidth="1"/>
    <col min="15" max="15" width="26" style="5" bestFit="1" customWidth="1"/>
    <col min="16" max="16" width="5" style="1" bestFit="1" customWidth="1"/>
    <col min="17" max="16384" width="17" style="5"/>
  </cols>
  <sheetData>
    <row r="1" spans="1:16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/>
      <c r="L1" s="1" t="s">
        <v>10</v>
      </c>
      <c r="M1" s="1" t="s">
        <v>11</v>
      </c>
      <c r="N1"/>
      <c r="O1" s="76" t="s">
        <v>12</v>
      </c>
      <c r="P1" s="76"/>
    </row>
    <row r="2" spans="1:16">
      <c r="A2" s="2" t="s">
        <v>781</v>
      </c>
      <c r="B2" s="2" t="s">
        <v>891</v>
      </c>
      <c r="C2" s="2" t="s">
        <v>892</v>
      </c>
      <c r="D2" s="2"/>
      <c r="E2" s="2"/>
      <c r="F2" s="2"/>
      <c r="G2" s="2"/>
      <c r="H2" s="2">
        <v>200</v>
      </c>
      <c r="I2" s="2">
        <v>185</v>
      </c>
      <c r="J2" s="3">
        <f>SUM(D2:I2)</f>
        <v>385</v>
      </c>
      <c r="L2" s="2" t="s">
        <v>3</v>
      </c>
      <c r="M2" s="3">
        <f>SUM(D2:D9)</f>
        <v>824</v>
      </c>
      <c r="O2" s="4" t="str">
        <f>A2</f>
        <v>Ball State</v>
      </c>
      <c r="P2" s="3">
        <f>SUM(M2:M7)</f>
        <v>5276</v>
      </c>
    </row>
    <row r="3" spans="1:16">
      <c r="A3" s="2" t="s">
        <v>781</v>
      </c>
      <c r="B3" s="2" t="s">
        <v>893</v>
      </c>
      <c r="C3" s="2" t="s">
        <v>894</v>
      </c>
      <c r="D3" s="2">
        <v>181</v>
      </c>
      <c r="E3" s="2">
        <v>178</v>
      </c>
      <c r="F3" s="2">
        <v>174</v>
      </c>
      <c r="G3" s="2">
        <v>170</v>
      </c>
      <c r="H3" s="2">
        <v>195</v>
      </c>
      <c r="I3" s="2">
        <v>166</v>
      </c>
      <c r="J3" s="3">
        <f t="shared" ref="J3:J9" si="0">SUM(D3:I3)</f>
        <v>1064</v>
      </c>
      <c r="L3" s="2" t="s">
        <v>4</v>
      </c>
      <c r="M3" s="3">
        <f>SUM(E2:E9)</f>
        <v>873</v>
      </c>
      <c r="O3" s="4"/>
      <c r="P3" s="3"/>
    </row>
    <row r="4" spans="1:16">
      <c r="A4" s="2" t="s">
        <v>781</v>
      </c>
      <c r="B4" s="2" t="s">
        <v>895</v>
      </c>
      <c r="C4" s="2" t="s">
        <v>896</v>
      </c>
      <c r="D4" s="2">
        <v>183</v>
      </c>
      <c r="E4" s="2">
        <v>192</v>
      </c>
      <c r="F4" s="2">
        <v>154</v>
      </c>
      <c r="G4" s="2">
        <v>203</v>
      </c>
      <c r="H4" s="2">
        <v>221</v>
      </c>
      <c r="I4" s="2">
        <v>227</v>
      </c>
      <c r="J4" s="3">
        <f t="shared" si="0"/>
        <v>1180</v>
      </c>
      <c r="L4" s="2" t="s">
        <v>5</v>
      </c>
      <c r="M4" s="3">
        <f>SUM(F2:F9)</f>
        <v>829</v>
      </c>
      <c r="O4" s="4"/>
      <c r="P4" s="3"/>
    </row>
    <row r="5" spans="1:16">
      <c r="A5" s="2" t="s">
        <v>781</v>
      </c>
      <c r="B5" s="2" t="s">
        <v>897</v>
      </c>
      <c r="C5" s="2" t="s">
        <v>898</v>
      </c>
      <c r="D5" s="2">
        <v>154</v>
      </c>
      <c r="E5" s="2">
        <v>196</v>
      </c>
      <c r="F5" s="2">
        <v>137</v>
      </c>
      <c r="G5" s="2">
        <v>153</v>
      </c>
      <c r="H5" s="2">
        <v>169</v>
      </c>
      <c r="I5" s="2">
        <v>159</v>
      </c>
      <c r="J5" s="3">
        <f t="shared" si="0"/>
        <v>968</v>
      </c>
      <c r="L5" s="2" t="s">
        <v>6</v>
      </c>
      <c r="M5" s="3">
        <f>SUM(G2:G9)</f>
        <v>876</v>
      </c>
      <c r="O5" s="4"/>
      <c r="P5" s="3"/>
    </row>
    <row r="6" spans="1:16">
      <c r="A6" s="2" t="s">
        <v>781</v>
      </c>
      <c r="B6" s="2" t="s">
        <v>899</v>
      </c>
      <c r="C6" s="2" t="s">
        <v>900</v>
      </c>
      <c r="D6" s="2">
        <v>178</v>
      </c>
      <c r="E6" s="2">
        <v>155</v>
      </c>
      <c r="F6" s="2">
        <v>198</v>
      </c>
      <c r="G6" s="2">
        <v>148</v>
      </c>
      <c r="H6" s="2"/>
      <c r="I6" s="2"/>
      <c r="J6" s="3">
        <f t="shared" si="0"/>
        <v>679</v>
      </c>
      <c r="L6" s="2" t="s">
        <v>7</v>
      </c>
      <c r="M6" s="3">
        <f>SUM(H2:H9)</f>
        <v>966</v>
      </c>
      <c r="O6" s="4"/>
      <c r="P6" s="3"/>
    </row>
    <row r="7" spans="1:16">
      <c r="A7" s="2" t="s">
        <v>781</v>
      </c>
      <c r="B7" s="2" t="s">
        <v>901</v>
      </c>
      <c r="C7" s="2" t="s">
        <v>902</v>
      </c>
      <c r="D7" s="2"/>
      <c r="E7" s="2"/>
      <c r="F7" s="2"/>
      <c r="G7" s="2"/>
      <c r="H7" s="2"/>
      <c r="I7" s="2"/>
      <c r="J7" s="3">
        <f t="shared" si="0"/>
        <v>0</v>
      </c>
      <c r="L7" s="2" t="s">
        <v>8</v>
      </c>
      <c r="M7" s="3">
        <f>SUM(I2:I9)</f>
        <v>908</v>
      </c>
      <c r="O7" s="4"/>
      <c r="P7" s="3"/>
    </row>
    <row r="8" spans="1:16">
      <c r="A8" s="2" t="s">
        <v>781</v>
      </c>
      <c r="B8" s="2" t="s">
        <v>903</v>
      </c>
      <c r="C8" s="2" t="s">
        <v>904</v>
      </c>
      <c r="D8" s="2"/>
      <c r="E8" s="2"/>
      <c r="F8" s="2">
        <v>166</v>
      </c>
      <c r="G8" s="2">
        <v>202</v>
      </c>
      <c r="H8" s="2">
        <v>181</v>
      </c>
      <c r="I8" s="2">
        <v>171</v>
      </c>
      <c r="J8" s="3">
        <f t="shared" si="0"/>
        <v>720</v>
      </c>
      <c r="L8" s="3"/>
      <c r="M8" s="3"/>
      <c r="O8" s="4"/>
      <c r="P8" s="3"/>
    </row>
    <row r="9" spans="1:16">
      <c r="A9" s="4" t="s">
        <v>781</v>
      </c>
      <c r="B9" s="2" t="s">
        <v>905</v>
      </c>
      <c r="C9" s="2" t="s">
        <v>906</v>
      </c>
      <c r="D9" s="2">
        <v>128</v>
      </c>
      <c r="E9" s="2">
        <v>152</v>
      </c>
      <c r="F9" s="2"/>
      <c r="G9" s="2"/>
      <c r="H9" s="2"/>
      <c r="I9" s="2"/>
      <c r="J9" s="3">
        <f t="shared" si="0"/>
        <v>280</v>
      </c>
      <c r="L9" s="2"/>
      <c r="M9" s="3"/>
      <c r="O9" s="4"/>
      <c r="P9" s="3"/>
    </row>
    <row r="10" spans="1:16">
      <c r="A10" s="6" t="s">
        <v>98</v>
      </c>
      <c r="B10" s="6" t="s">
        <v>907</v>
      </c>
      <c r="C10" s="6" t="s">
        <v>908</v>
      </c>
      <c r="D10" s="6">
        <v>161</v>
      </c>
      <c r="E10" s="6">
        <v>150</v>
      </c>
      <c r="F10" s="6">
        <v>167</v>
      </c>
      <c r="G10" s="6">
        <v>192</v>
      </c>
      <c r="H10" s="6">
        <v>181</v>
      </c>
      <c r="I10" s="6">
        <v>171</v>
      </c>
      <c r="J10" s="6">
        <f>SUM(D10:I10)</f>
        <v>1022</v>
      </c>
      <c r="L10" s="6" t="s">
        <v>3</v>
      </c>
      <c r="M10" s="7">
        <f>SUM(D10:D17)</f>
        <v>742</v>
      </c>
      <c r="O10" s="8" t="str">
        <f>A10</f>
        <v>Clarke</v>
      </c>
      <c r="P10" s="7">
        <f>SUM(M10:M15)</f>
        <v>5094</v>
      </c>
    </row>
    <row r="11" spans="1:16">
      <c r="A11" s="6" t="s">
        <v>98</v>
      </c>
      <c r="B11" s="6" t="s">
        <v>907</v>
      </c>
      <c r="C11" s="6" t="s">
        <v>340</v>
      </c>
      <c r="D11" s="6">
        <v>167</v>
      </c>
      <c r="E11" s="6">
        <v>181</v>
      </c>
      <c r="F11" s="6"/>
      <c r="G11" s="6"/>
      <c r="H11" s="6">
        <v>182</v>
      </c>
      <c r="I11" s="6"/>
      <c r="J11" s="6">
        <f t="shared" ref="J11:J17" si="1">SUM(D11:I11)</f>
        <v>530</v>
      </c>
      <c r="L11" s="6" t="s">
        <v>4</v>
      </c>
      <c r="M11" s="7">
        <f>SUM(E10:E17)</f>
        <v>781</v>
      </c>
      <c r="O11" s="8"/>
      <c r="P11" s="7"/>
    </row>
    <row r="12" spans="1:16">
      <c r="A12" s="6" t="s">
        <v>98</v>
      </c>
      <c r="B12" s="6" t="s">
        <v>909</v>
      </c>
      <c r="C12" s="6" t="s">
        <v>910</v>
      </c>
      <c r="D12" s="6">
        <v>152</v>
      </c>
      <c r="E12" s="6">
        <v>149</v>
      </c>
      <c r="F12" s="6">
        <v>167</v>
      </c>
      <c r="G12" s="6">
        <v>199</v>
      </c>
      <c r="H12" s="6">
        <v>206</v>
      </c>
      <c r="I12" s="6">
        <v>211</v>
      </c>
      <c r="J12" s="6">
        <f t="shared" si="1"/>
        <v>1084</v>
      </c>
      <c r="L12" s="6" t="s">
        <v>5</v>
      </c>
      <c r="M12" s="7">
        <f>SUM(F10:F17)</f>
        <v>852</v>
      </c>
      <c r="O12" s="8"/>
      <c r="P12" s="7"/>
    </row>
    <row r="13" spans="1:16">
      <c r="A13" s="6" t="s">
        <v>98</v>
      </c>
      <c r="B13" s="6" t="s">
        <v>394</v>
      </c>
      <c r="C13" s="6" t="s">
        <v>911</v>
      </c>
      <c r="D13" s="6"/>
      <c r="E13" s="6"/>
      <c r="F13" s="6"/>
      <c r="G13" s="6"/>
      <c r="H13" s="6"/>
      <c r="I13" s="6">
        <v>172</v>
      </c>
      <c r="J13" s="6">
        <f t="shared" si="1"/>
        <v>172</v>
      </c>
      <c r="L13" s="6" t="s">
        <v>6</v>
      </c>
      <c r="M13" s="7">
        <f>SUM(G10:G17)</f>
        <v>916</v>
      </c>
      <c r="O13" s="8"/>
      <c r="P13" s="7"/>
    </row>
    <row r="14" spans="1:16">
      <c r="A14" s="6" t="s">
        <v>98</v>
      </c>
      <c r="B14" s="6" t="s">
        <v>912</v>
      </c>
      <c r="C14" s="6" t="s">
        <v>913</v>
      </c>
      <c r="D14" s="6">
        <v>141</v>
      </c>
      <c r="E14" s="6"/>
      <c r="F14" s="6">
        <v>147</v>
      </c>
      <c r="G14" s="6">
        <v>139</v>
      </c>
      <c r="H14" s="6"/>
      <c r="I14" s="6">
        <v>212</v>
      </c>
      <c r="J14" s="6">
        <f t="shared" si="1"/>
        <v>639</v>
      </c>
      <c r="L14" s="6" t="s">
        <v>7</v>
      </c>
      <c r="M14" s="7">
        <f>SUM(H10:H17)</f>
        <v>887</v>
      </c>
      <c r="O14" s="8"/>
      <c r="P14" s="7"/>
    </row>
    <row r="15" spans="1:16">
      <c r="A15" s="6" t="s">
        <v>98</v>
      </c>
      <c r="B15" s="6" t="s">
        <v>914</v>
      </c>
      <c r="C15" s="6" t="s">
        <v>915</v>
      </c>
      <c r="D15" s="6">
        <v>121</v>
      </c>
      <c r="E15" s="6">
        <v>158</v>
      </c>
      <c r="F15" s="6">
        <v>168</v>
      </c>
      <c r="G15" s="6">
        <v>164</v>
      </c>
      <c r="H15" s="6">
        <v>157</v>
      </c>
      <c r="I15" s="6"/>
      <c r="J15" s="6">
        <f t="shared" si="1"/>
        <v>768</v>
      </c>
      <c r="L15" s="6" t="s">
        <v>8</v>
      </c>
      <c r="M15" s="7">
        <f>SUM(I10:I17)</f>
        <v>916</v>
      </c>
      <c r="O15" s="8"/>
      <c r="P15" s="7"/>
    </row>
    <row r="16" spans="1:16">
      <c r="A16" s="6" t="s">
        <v>98</v>
      </c>
      <c r="B16" s="6" t="s">
        <v>916</v>
      </c>
      <c r="C16" s="6" t="s">
        <v>917</v>
      </c>
      <c r="D16" s="6"/>
      <c r="E16" s="6">
        <v>143</v>
      </c>
      <c r="F16" s="6">
        <v>203</v>
      </c>
      <c r="G16" s="6">
        <v>222</v>
      </c>
      <c r="H16" s="6">
        <v>161</v>
      </c>
      <c r="I16" s="6"/>
      <c r="J16" s="6">
        <f t="shared" si="1"/>
        <v>729</v>
      </c>
      <c r="L16" s="6"/>
      <c r="M16" s="7"/>
      <c r="O16" s="8"/>
      <c r="P16" s="7"/>
    </row>
    <row r="17" spans="1:16">
      <c r="A17" s="6" t="s">
        <v>98</v>
      </c>
      <c r="B17" s="6" t="s">
        <v>918</v>
      </c>
      <c r="C17" s="6" t="s">
        <v>919</v>
      </c>
      <c r="D17" s="6"/>
      <c r="E17" s="6"/>
      <c r="F17" s="6"/>
      <c r="G17" s="6"/>
      <c r="H17" s="6"/>
      <c r="I17" s="6">
        <v>150</v>
      </c>
      <c r="J17" s="6">
        <f t="shared" si="1"/>
        <v>150</v>
      </c>
      <c r="L17" s="6"/>
      <c r="M17" s="7"/>
      <c r="O17" s="8"/>
      <c r="P17" s="7"/>
    </row>
    <row r="18" spans="1:16">
      <c r="A18" s="2" t="s">
        <v>751</v>
      </c>
      <c r="B18" s="2" t="s">
        <v>920</v>
      </c>
      <c r="C18" s="2" t="s">
        <v>921</v>
      </c>
      <c r="D18" s="2">
        <v>138</v>
      </c>
      <c r="E18" s="2"/>
      <c r="F18" s="2">
        <v>173</v>
      </c>
      <c r="G18" s="2">
        <v>182</v>
      </c>
      <c r="H18" s="2">
        <v>166</v>
      </c>
      <c r="I18" s="2">
        <v>144</v>
      </c>
      <c r="J18" s="3">
        <f>SUM(D18:I18)</f>
        <v>803</v>
      </c>
      <c r="L18" s="2" t="s">
        <v>3</v>
      </c>
      <c r="M18" s="3">
        <f>SUM(D18:D25)</f>
        <v>807</v>
      </c>
      <c r="O18" s="4" t="str">
        <f>A18</f>
        <v>Illinois State</v>
      </c>
      <c r="P18" s="3">
        <f>SUM(M18:M23)</f>
        <v>4701</v>
      </c>
    </row>
    <row r="19" spans="1:16">
      <c r="A19" s="2" t="s">
        <v>751</v>
      </c>
      <c r="B19" s="2" t="s">
        <v>922</v>
      </c>
      <c r="C19" s="2" t="s">
        <v>923</v>
      </c>
      <c r="D19" s="2">
        <v>143</v>
      </c>
      <c r="E19" s="2"/>
      <c r="F19" s="2">
        <v>157</v>
      </c>
      <c r="G19" s="2">
        <v>139</v>
      </c>
      <c r="H19" s="2"/>
      <c r="I19" s="2">
        <v>181</v>
      </c>
      <c r="J19" s="3">
        <f t="shared" ref="J19:J25" si="2">SUM(D19:I19)</f>
        <v>620</v>
      </c>
      <c r="L19" s="2" t="s">
        <v>4</v>
      </c>
      <c r="M19" s="3">
        <f>SUM(E18:E25)</f>
        <v>788</v>
      </c>
      <c r="O19" s="4"/>
      <c r="P19" s="3"/>
    </row>
    <row r="20" spans="1:16">
      <c r="A20" s="2" t="s">
        <v>751</v>
      </c>
      <c r="B20" s="2" t="s">
        <v>924</v>
      </c>
      <c r="C20" s="2" t="s">
        <v>925</v>
      </c>
      <c r="D20" s="2">
        <v>192</v>
      </c>
      <c r="E20" s="2">
        <v>207</v>
      </c>
      <c r="F20" s="2">
        <v>146</v>
      </c>
      <c r="G20" s="2"/>
      <c r="H20" s="2">
        <v>130</v>
      </c>
      <c r="I20" s="2"/>
      <c r="J20" s="3">
        <f t="shared" si="2"/>
        <v>675</v>
      </c>
      <c r="L20" s="2" t="s">
        <v>5</v>
      </c>
      <c r="M20" s="3">
        <f>SUM(F18:F25)</f>
        <v>788</v>
      </c>
      <c r="O20" s="4"/>
      <c r="P20" s="3"/>
    </row>
    <row r="21" spans="1:16">
      <c r="A21" s="2" t="s">
        <v>751</v>
      </c>
      <c r="B21" s="2" t="s">
        <v>926</v>
      </c>
      <c r="C21" s="2" t="s">
        <v>927</v>
      </c>
      <c r="D21" s="2"/>
      <c r="E21" s="2">
        <v>152</v>
      </c>
      <c r="F21" s="2">
        <v>168</v>
      </c>
      <c r="G21" s="2">
        <v>157</v>
      </c>
      <c r="H21" s="2">
        <v>167</v>
      </c>
      <c r="I21" s="2">
        <v>185</v>
      </c>
      <c r="J21" s="3">
        <f t="shared" si="2"/>
        <v>829</v>
      </c>
      <c r="L21" s="2" t="s">
        <v>6</v>
      </c>
      <c r="M21" s="3">
        <f>SUM(G18:G25)</f>
        <v>803</v>
      </c>
      <c r="O21" s="4"/>
      <c r="P21" s="3"/>
    </row>
    <row r="22" spans="1:16">
      <c r="A22" s="2" t="s">
        <v>751</v>
      </c>
      <c r="B22" s="2" t="s">
        <v>19</v>
      </c>
      <c r="C22" s="2" t="s">
        <v>928</v>
      </c>
      <c r="D22" s="2"/>
      <c r="E22" s="2">
        <v>164</v>
      </c>
      <c r="F22" s="2">
        <v>144</v>
      </c>
      <c r="G22" s="2"/>
      <c r="H22" s="2">
        <v>149</v>
      </c>
      <c r="I22" s="2">
        <v>153</v>
      </c>
      <c r="J22" s="3">
        <f t="shared" si="2"/>
        <v>610</v>
      </c>
      <c r="L22" s="2" t="s">
        <v>7</v>
      </c>
      <c r="M22" s="3">
        <f>SUM(H18:H25)</f>
        <v>732</v>
      </c>
      <c r="O22" s="4"/>
      <c r="P22" s="3"/>
    </row>
    <row r="23" spans="1:16">
      <c r="A23" s="2" t="s">
        <v>751</v>
      </c>
      <c r="B23" s="2" t="s">
        <v>929</v>
      </c>
      <c r="C23" s="2" t="s">
        <v>930</v>
      </c>
      <c r="D23" s="2">
        <v>187</v>
      </c>
      <c r="E23" s="2">
        <v>148</v>
      </c>
      <c r="F23" s="2"/>
      <c r="G23" s="2">
        <v>179</v>
      </c>
      <c r="H23" s="2">
        <v>120</v>
      </c>
      <c r="I23" s="2"/>
      <c r="J23" s="3">
        <f t="shared" si="2"/>
        <v>634</v>
      </c>
      <c r="L23" s="2" t="s">
        <v>8</v>
      </c>
      <c r="M23" s="3">
        <f>SUM(I18:I25)</f>
        <v>783</v>
      </c>
      <c r="O23" s="4"/>
      <c r="P23" s="3"/>
    </row>
    <row r="24" spans="1:16">
      <c r="A24" s="2" t="s">
        <v>751</v>
      </c>
      <c r="B24" s="2" t="s">
        <v>916</v>
      </c>
      <c r="C24" s="2" t="s">
        <v>931</v>
      </c>
      <c r="D24" s="2">
        <v>147</v>
      </c>
      <c r="E24" s="2">
        <v>117</v>
      </c>
      <c r="F24" s="2"/>
      <c r="G24" s="2">
        <v>146</v>
      </c>
      <c r="H24" s="2"/>
      <c r="I24" s="2">
        <v>120</v>
      </c>
      <c r="J24" s="3">
        <f t="shared" si="2"/>
        <v>530</v>
      </c>
      <c r="L24" s="3"/>
      <c r="M24" s="3"/>
      <c r="O24" s="4"/>
      <c r="P24" s="3"/>
    </row>
    <row r="25" spans="1:16">
      <c r="A25" s="4" t="s">
        <v>751</v>
      </c>
      <c r="B25" s="2"/>
      <c r="C25" s="2"/>
      <c r="D25" s="2"/>
      <c r="E25" s="2"/>
      <c r="F25" s="2"/>
      <c r="G25" s="2"/>
      <c r="H25" s="2"/>
      <c r="I25" s="2"/>
      <c r="J25" s="3">
        <f t="shared" si="2"/>
        <v>0</v>
      </c>
      <c r="L25" s="2"/>
      <c r="M25" s="3"/>
      <c r="O25" s="4"/>
      <c r="P25" s="3"/>
    </row>
    <row r="26" spans="1:16">
      <c r="A26" s="6" t="s">
        <v>932</v>
      </c>
      <c r="B26" s="6" t="s">
        <v>933</v>
      </c>
      <c r="C26" s="6" t="s">
        <v>934</v>
      </c>
      <c r="D26" s="6">
        <v>168</v>
      </c>
      <c r="E26" s="6">
        <v>145</v>
      </c>
      <c r="F26" s="6">
        <v>174</v>
      </c>
      <c r="G26" s="6">
        <v>226</v>
      </c>
      <c r="H26" s="6">
        <v>123</v>
      </c>
      <c r="I26" s="6">
        <v>129</v>
      </c>
      <c r="J26" s="6">
        <f>SUM(D26:I26)</f>
        <v>965</v>
      </c>
      <c r="L26" s="6" t="s">
        <v>3</v>
      </c>
      <c r="M26" s="7">
        <f>SUM(D26:D33)</f>
        <v>744</v>
      </c>
      <c r="O26" s="8" t="str">
        <f>A26</f>
        <v>Lincoln</v>
      </c>
      <c r="P26" s="7">
        <f>SUM(M26:M31)</f>
        <v>4717</v>
      </c>
    </row>
    <row r="27" spans="1:16">
      <c r="A27" s="6" t="s">
        <v>932</v>
      </c>
      <c r="B27" s="6" t="s">
        <v>924</v>
      </c>
      <c r="C27" s="6" t="s">
        <v>935</v>
      </c>
      <c r="D27" s="6">
        <v>170</v>
      </c>
      <c r="E27" s="6">
        <v>137</v>
      </c>
      <c r="F27" s="6">
        <v>124</v>
      </c>
      <c r="G27" s="6">
        <v>171</v>
      </c>
      <c r="H27" s="6">
        <v>156</v>
      </c>
      <c r="I27" s="6">
        <v>167</v>
      </c>
      <c r="J27" s="6">
        <f t="shared" ref="J27:J33" si="3">SUM(D27:I27)</f>
        <v>925</v>
      </c>
      <c r="L27" s="6" t="s">
        <v>4</v>
      </c>
      <c r="M27" s="7">
        <f>SUM(E26:E33)</f>
        <v>753</v>
      </c>
      <c r="O27" s="8"/>
      <c r="P27" s="7"/>
    </row>
    <row r="28" spans="1:16">
      <c r="A28" s="6" t="s">
        <v>932</v>
      </c>
      <c r="B28" s="6" t="s">
        <v>936</v>
      </c>
      <c r="C28" s="6" t="s">
        <v>487</v>
      </c>
      <c r="D28" s="6">
        <v>132</v>
      </c>
      <c r="E28" s="6">
        <v>157</v>
      </c>
      <c r="F28" s="6">
        <v>161</v>
      </c>
      <c r="G28" s="6">
        <v>123</v>
      </c>
      <c r="H28" s="6">
        <v>131</v>
      </c>
      <c r="I28" s="6">
        <v>141</v>
      </c>
      <c r="J28" s="6">
        <f t="shared" si="3"/>
        <v>845</v>
      </c>
      <c r="L28" s="6" t="s">
        <v>5</v>
      </c>
      <c r="M28" s="7">
        <f>SUM(F26:F33)</f>
        <v>843</v>
      </c>
      <c r="O28" s="8"/>
      <c r="P28" s="7"/>
    </row>
    <row r="29" spans="1:16">
      <c r="A29" s="6" t="s">
        <v>932</v>
      </c>
      <c r="B29" s="6" t="s">
        <v>937</v>
      </c>
      <c r="C29" s="6" t="s">
        <v>938</v>
      </c>
      <c r="D29" s="6"/>
      <c r="E29" s="6"/>
      <c r="F29" s="6"/>
      <c r="G29" s="6"/>
      <c r="H29" s="6"/>
      <c r="I29" s="6"/>
      <c r="J29" s="6">
        <f t="shared" si="3"/>
        <v>0</v>
      </c>
      <c r="L29" s="6" t="s">
        <v>6</v>
      </c>
      <c r="M29" s="7">
        <f>SUM(G26:G33)</f>
        <v>827</v>
      </c>
      <c r="O29" s="8"/>
      <c r="P29" s="7"/>
    </row>
    <row r="30" spans="1:16">
      <c r="A30" s="6" t="s">
        <v>932</v>
      </c>
      <c r="B30" s="6" t="s">
        <v>939</v>
      </c>
      <c r="C30" s="6" t="s">
        <v>940</v>
      </c>
      <c r="D30" s="6">
        <v>149</v>
      </c>
      <c r="E30" s="6">
        <v>139</v>
      </c>
      <c r="F30" s="6">
        <v>172</v>
      </c>
      <c r="G30" s="6">
        <v>143</v>
      </c>
      <c r="H30" s="6">
        <v>154</v>
      </c>
      <c r="I30" s="6">
        <v>172</v>
      </c>
      <c r="J30" s="6">
        <f t="shared" si="3"/>
        <v>929</v>
      </c>
      <c r="L30" s="6" t="s">
        <v>7</v>
      </c>
      <c r="M30" s="7">
        <f>SUM(H26:H33)</f>
        <v>740</v>
      </c>
      <c r="O30" s="8"/>
      <c r="P30" s="7"/>
    </row>
    <row r="31" spans="1:16">
      <c r="A31" s="6" t="s">
        <v>932</v>
      </c>
      <c r="B31" s="6" t="s">
        <v>941</v>
      </c>
      <c r="C31" s="6" t="s">
        <v>940</v>
      </c>
      <c r="D31" s="6">
        <v>125</v>
      </c>
      <c r="E31" s="6">
        <v>175</v>
      </c>
      <c r="F31" s="6">
        <v>212</v>
      </c>
      <c r="G31" s="6">
        <v>164</v>
      </c>
      <c r="H31" s="6">
        <v>176</v>
      </c>
      <c r="I31" s="6">
        <v>201</v>
      </c>
      <c r="J31" s="6">
        <f t="shared" si="3"/>
        <v>1053</v>
      </c>
      <c r="L31" s="6" t="s">
        <v>8</v>
      </c>
      <c r="M31" s="7">
        <f>SUM(I26:I33)</f>
        <v>810</v>
      </c>
      <c r="O31" s="8"/>
      <c r="P31" s="7"/>
    </row>
    <row r="32" spans="1:16">
      <c r="A32" s="6" t="s">
        <v>932</v>
      </c>
      <c r="B32" s="6"/>
      <c r="C32" s="6"/>
      <c r="D32" s="6"/>
      <c r="E32" s="6"/>
      <c r="F32" s="6"/>
      <c r="G32" s="6"/>
      <c r="H32" s="6"/>
      <c r="I32" s="6"/>
      <c r="J32" s="6">
        <f t="shared" si="3"/>
        <v>0</v>
      </c>
      <c r="L32" s="6"/>
      <c r="M32" s="7"/>
      <c r="O32" s="8"/>
      <c r="P32" s="7"/>
    </row>
    <row r="33" spans="1:16">
      <c r="A33" s="6" t="s">
        <v>932</v>
      </c>
      <c r="B33" s="6"/>
      <c r="C33" s="6"/>
      <c r="D33" s="6"/>
      <c r="E33" s="6"/>
      <c r="F33" s="6"/>
      <c r="G33" s="6"/>
      <c r="H33" s="6"/>
      <c r="I33" s="6"/>
      <c r="J33" s="6">
        <f t="shared" si="3"/>
        <v>0</v>
      </c>
      <c r="L33" s="6"/>
      <c r="M33" s="7"/>
      <c r="O33" s="8"/>
      <c r="P33" s="7"/>
    </row>
    <row r="34" spans="1:16">
      <c r="A34" s="2" t="s">
        <v>942</v>
      </c>
      <c r="B34" s="2" t="s">
        <v>943</v>
      </c>
      <c r="C34" s="2" t="s">
        <v>944</v>
      </c>
      <c r="D34" s="2">
        <v>129</v>
      </c>
      <c r="E34" s="2">
        <v>218</v>
      </c>
      <c r="F34" s="2">
        <v>152</v>
      </c>
      <c r="G34" s="2"/>
      <c r="H34" s="2">
        <v>188</v>
      </c>
      <c r="I34" s="2">
        <v>145</v>
      </c>
      <c r="J34" s="3">
        <f>SUM(D34:I34)</f>
        <v>832</v>
      </c>
      <c r="L34" s="2" t="s">
        <v>3</v>
      </c>
      <c r="M34" s="3">
        <f>SUM(D34:D41)</f>
        <v>704</v>
      </c>
      <c r="O34" s="4" t="str">
        <f>A34</f>
        <v>Cincinnati</v>
      </c>
      <c r="P34" s="3">
        <f>SUM(M34:M39)</f>
        <v>4954</v>
      </c>
    </row>
    <row r="35" spans="1:16">
      <c r="A35" s="2" t="s">
        <v>942</v>
      </c>
      <c r="B35" s="2" t="s">
        <v>394</v>
      </c>
      <c r="C35" s="2" t="s">
        <v>211</v>
      </c>
      <c r="D35" s="2">
        <v>180</v>
      </c>
      <c r="E35" s="2">
        <v>160</v>
      </c>
      <c r="F35" s="2">
        <v>146</v>
      </c>
      <c r="G35" s="2"/>
      <c r="H35" s="2">
        <v>176</v>
      </c>
      <c r="I35" s="2">
        <v>175</v>
      </c>
      <c r="J35" s="3">
        <f t="shared" ref="J35:J41" si="4">SUM(D35:I35)</f>
        <v>837</v>
      </c>
      <c r="L35" s="2" t="s">
        <v>4</v>
      </c>
      <c r="M35" s="3">
        <f>SUM(E34:E41)</f>
        <v>874</v>
      </c>
      <c r="O35" s="4"/>
      <c r="P35" s="3"/>
    </row>
    <row r="36" spans="1:16">
      <c r="A36" s="2" t="s">
        <v>942</v>
      </c>
      <c r="B36" s="2" t="s">
        <v>945</v>
      </c>
      <c r="C36" s="2" t="s">
        <v>946</v>
      </c>
      <c r="D36" s="2">
        <v>142</v>
      </c>
      <c r="E36" s="2">
        <v>171</v>
      </c>
      <c r="F36" s="2">
        <v>171</v>
      </c>
      <c r="G36" s="2">
        <v>138</v>
      </c>
      <c r="H36" s="2"/>
      <c r="I36" s="2">
        <v>161</v>
      </c>
      <c r="J36" s="3">
        <f t="shared" si="4"/>
        <v>783</v>
      </c>
      <c r="L36" s="2" t="s">
        <v>5</v>
      </c>
      <c r="M36" s="3">
        <f>SUM(F34:F41)</f>
        <v>840</v>
      </c>
      <c r="O36" s="4"/>
      <c r="P36" s="3"/>
    </row>
    <row r="37" spans="1:16">
      <c r="A37" s="2" t="s">
        <v>942</v>
      </c>
      <c r="B37" s="2" t="s">
        <v>400</v>
      </c>
      <c r="C37" s="2" t="s">
        <v>947</v>
      </c>
      <c r="D37" s="2">
        <v>132</v>
      </c>
      <c r="E37" s="2"/>
      <c r="F37" s="2">
        <v>192</v>
      </c>
      <c r="G37" s="2">
        <v>203</v>
      </c>
      <c r="H37" s="2">
        <v>213</v>
      </c>
      <c r="I37" s="2">
        <v>187</v>
      </c>
      <c r="J37" s="3">
        <f t="shared" si="4"/>
        <v>927</v>
      </c>
      <c r="L37" s="2" t="s">
        <v>6</v>
      </c>
      <c r="M37" s="3">
        <f>SUM(G34:G41)</f>
        <v>810</v>
      </c>
      <c r="O37" s="4"/>
      <c r="P37" s="3"/>
    </row>
    <row r="38" spans="1:16">
      <c r="A38" s="2" t="s">
        <v>942</v>
      </c>
      <c r="B38" s="2" t="s">
        <v>805</v>
      </c>
      <c r="C38" s="2" t="s">
        <v>948</v>
      </c>
      <c r="D38" s="2"/>
      <c r="E38" s="2">
        <v>192</v>
      </c>
      <c r="F38" s="2"/>
      <c r="G38" s="2">
        <v>158</v>
      </c>
      <c r="H38" s="2">
        <v>164</v>
      </c>
      <c r="I38" s="2">
        <v>169</v>
      </c>
      <c r="J38" s="3">
        <f t="shared" si="4"/>
        <v>683</v>
      </c>
      <c r="L38" s="2" t="s">
        <v>7</v>
      </c>
      <c r="M38" s="3">
        <f>SUM(H34:H41)</f>
        <v>889</v>
      </c>
      <c r="O38" s="4"/>
      <c r="P38" s="3"/>
    </row>
    <row r="39" spans="1:16">
      <c r="A39" s="2" t="s">
        <v>942</v>
      </c>
      <c r="B39" s="2" t="s">
        <v>949</v>
      </c>
      <c r="C39" s="2" t="s">
        <v>950</v>
      </c>
      <c r="D39" s="2">
        <v>121</v>
      </c>
      <c r="E39" s="2"/>
      <c r="F39" s="2">
        <v>179</v>
      </c>
      <c r="G39" s="2">
        <v>191</v>
      </c>
      <c r="H39" s="2">
        <v>148</v>
      </c>
      <c r="I39" s="2"/>
      <c r="J39" s="3">
        <f t="shared" si="4"/>
        <v>639</v>
      </c>
      <c r="L39" s="2" t="s">
        <v>8</v>
      </c>
      <c r="M39" s="3">
        <f>SUM(I34:I41)</f>
        <v>837</v>
      </c>
      <c r="O39" s="4"/>
      <c r="P39" s="3"/>
    </row>
    <row r="40" spans="1:16">
      <c r="A40" s="2" t="s">
        <v>942</v>
      </c>
      <c r="B40" s="2" t="s">
        <v>924</v>
      </c>
      <c r="C40" s="2" t="s">
        <v>951</v>
      </c>
      <c r="D40" s="2"/>
      <c r="E40" s="2">
        <v>133</v>
      </c>
      <c r="F40" s="2"/>
      <c r="G40" s="2">
        <v>120</v>
      </c>
      <c r="H40" s="2"/>
      <c r="I40" s="2"/>
      <c r="J40" s="3">
        <f t="shared" si="4"/>
        <v>253</v>
      </c>
      <c r="L40" s="3"/>
      <c r="M40" s="3"/>
      <c r="O40" s="4"/>
      <c r="P40" s="3"/>
    </row>
    <row r="41" spans="1:16">
      <c r="A41" s="2" t="s">
        <v>942</v>
      </c>
      <c r="B41" s="2"/>
      <c r="C41" s="2"/>
      <c r="D41" s="2"/>
      <c r="E41" s="2"/>
      <c r="F41" s="2"/>
      <c r="G41" s="2"/>
      <c r="H41" s="2"/>
      <c r="I41" s="2"/>
      <c r="J41" s="3">
        <f t="shared" si="4"/>
        <v>0</v>
      </c>
      <c r="L41" s="2"/>
      <c r="M41" s="3"/>
      <c r="O41" s="4"/>
      <c r="P41" s="3"/>
    </row>
    <row r="42" spans="1:16">
      <c r="A42" s="6" t="s">
        <v>295</v>
      </c>
      <c r="B42" s="6" t="s">
        <v>952</v>
      </c>
      <c r="C42" s="6" t="s">
        <v>953</v>
      </c>
      <c r="D42" s="6">
        <v>180</v>
      </c>
      <c r="E42" s="6">
        <v>149</v>
      </c>
      <c r="F42" s="6">
        <v>151</v>
      </c>
      <c r="G42" s="6"/>
      <c r="H42" s="6"/>
      <c r="I42" s="6"/>
      <c r="J42" s="6">
        <f>SUM(D42:I42)</f>
        <v>480</v>
      </c>
      <c r="L42" s="6" t="s">
        <v>3</v>
      </c>
      <c r="M42" s="7">
        <f>SUM(D42:D49)</f>
        <v>938</v>
      </c>
      <c r="O42" s="8" t="str">
        <f>A42</f>
        <v>Muskingum</v>
      </c>
      <c r="P42" s="7">
        <f>SUM(M42:M47)</f>
        <v>5290</v>
      </c>
    </row>
    <row r="43" spans="1:16">
      <c r="A43" s="6" t="s">
        <v>295</v>
      </c>
      <c r="B43" s="6" t="s">
        <v>954</v>
      </c>
      <c r="C43" s="6" t="s">
        <v>955</v>
      </c>
      <c r="D43" s="6">
        <v>190</v>
      </c>
      <c r="E43" s="6">
        <v>145</v>
      </c>
      <c r="F43" s="6">
        <v>181</v>
      </c>
      <c r="G43" s="6">
        <v>158</v>
      </c>
      <c r="H43" s="6">
        <v>174</v>
      </c>
      <c r="I43" s="6">
        <v>161</v>
      </c>
      <c r="J43" s="6">
        <f t="shared" ref="J43:J49" si="5">SUM(D43:I43)</f>
        <v>1009</v>
      </c>
      <c r="L43" s="6" t="s">
        <v>4</v>
      </c>
      <c r="M43" s="7">
        <f>SUM(E42:E49)</f>
        <v>816</v>
      </c>
      <c r="O43" s="8"/>
      <c r="P43" s="7"/>
    </row>
    <row r="44" spans="1:16">
      <c r="A44" s="6" t="s">
        <v>295</v>
      </c>
      <c r="B44" s="6" t="s">
        <v>924</v>
      </c>
      <c r="C44" s="6" t="s">
        <v>956</v>
      </c>
      <c r="D44" s="6">
        <v>172</v>
      </c>
      <c r="E44" s="6">
        <v>174</v>
      </c>
      <c r="F44" s="6">
        <v>151</v>
      </c>
      <c r="G44" s="6"/>
      <c r="H44" s="6"/>
      <c r="I44" s="6">
        <v>200</v>
      </c>
      <c r="J44" s="6">
        <f t="shared" si="5"/>
        <v>697</v>
      </c>
      <c r="L44" s="6" t="s">
        <v>5</v>
      </c>
      <c r="M44" s="7">
        <f>SUM(F42:F49)</f>
        <v>850</v>
      </c>
      <c r="O44" s="8"/>
      <c r="P44" s="7"/>
    </row>
    <row r="45" spans="1:16">
      <c r="A45" s="6" t="s">
        <v>295</v>
      </c>
      <c r="B45" s="6" t="s">
        <v>957</v>
      </c>
      <c r="C45" s="6" t="s">
        <v>958</v>
      </c>
      <c r="D45" s="6"/>
      <c r="E45" s="6"/>
      <c r="F45" s="6"/>
      <c r="G45" s="6">
        <v>153</v>
      </c>
      <c r="H45" s="6">
        <v>129</v>
      </c>
      <c r="I45" s="6"/>
      <c r="J45" s="6">
        <f t="shared" si="5"/>
        <v>282</v>
      </c>
      <c r="L45" s="6" t="s">
        <v>6</v>
      </c>
      <c r="M45" s="7">
        <f>SUM(G42:G49)</f>
        <v>900</v>
      </c>
      <c r="O45" s="8"/>
      <c r="P45" s="7"/>
    </row>
    <row r="46" spans="1:16">
      <c r="A46" s="6" t="s">
        <v>295</v>
      </c>
      <c r="B46" s="6" t="s">
        <v>959</v>
      </c>
      <c r="C46" s="6" t="s">
        <v>960</v>
      </c>
      <c r="D46" s="6">
        <v>186</v>
      </c>
      <c r="E46" s="6">
        <v>187</v>
      </c>
      <c r="F46" s="6">
        <v>210</v>
      </c>
      <c r="G46" s="6">
        <v>196</v>
      </c>
      <c r="H46" s="6">
        <v>168</v>
      </c>
      <c r="I46" s="6">
        <v>203</v>
      </c>
      <c r="J46" s="6">
        <f t="shared" si="5"/>
        <v>1150</v>
      </c>
      <c r="L46" s="6" t="s">
        <v>7</v>
      </c>
      <c r="M46" s="7">
        <f>SUM(H42:H49)</f>
        <v>845</v>
      </c>
      <c r="O46" s="8"/>
      <c r="P46" s="7"/>
    </row>
    <row r="47" spans="1:16">
      <c r="A47" s="6" t="s">
        <v>295</v>
      </c>
      <c r="B47" s="6" t="s">
        <v>961</v>
      </c>
      <c r="C47" s="6" t="s">
        <v>962</v>
      </c>
      <c r="D47" s="6"/>
      <c r="E47" s="6"/>
      <c r="F47" s="6"/>
      <c r="G47" s="6">
        <v>221</v>
      </c>
      <c r="H47" s="6">
        <v>177</v>
      </c>
      <c r="I47" s="6">
        <v>139</v>
      </c>
      <c r="J47" s="6">
        <f t="shared" si="5"/>
        <v>537</v>
      </c>
      <c r="L47" s="6" t="s">
        <v>8</v>
      </c>
      <c r="M47" s="7">
        <f>SUM(I42:I49)</f>
        <v>941</v>
      </c>
      <c r="O47" s="8"/>
      <c r="P47" s="7"/>
    </row>
    <row r="48" spans="1:16">
      <c r="A48" s="6" t="s">
        <v>295</v>
      </c>
      <c r="B48" s="6" t="s">
        <v>963</v>
      </c>
      <c r="C48" s="6" t="s">
        <v>964</v>
      </c>
      <c r="D48" s="6">
        <v>210</v>
      </c>
      <c r="E48" s="6">
        <v>161</v>
      </c>
      <c r="F48" s="6">
        <v>157</v>
      </c>
      <c r="G48" s="6">
        <v>172</v>
      </c>
      <c r="H48" s="6">
        <v>197</v>
      </c>
      <c r="I48" s="6">
        <v>238</v>
      </c>
      <c r="J48" s="6">
        <f t="shared" si="5"/>
        <v>1135</v>
      </c>
      <c r="L48" s="6"/>
      <c r="M48" s="7"/>
      <c r="O48" s="8"/>
      <c r="P48" s="7"/>
    </row>
    <row r="49" spans="1:16">
      <c r="A49" s="6" t="s">
        <v>295</v>
      </c>
      <c r="B49" s="6"/>
      <c r="C49" s="6"/>
      <c r="D49" s="6"/>
      <c r="E49" s="6"/>
      <c r="F49" s="6"/>
      <c r="G49" s="6"/>
      <c r="H49" s="6"/>
      <c r="I49" s="6"/>
      <c r="J49" s="6">
        <f t="shared" si="5"/>
        <v>0</v>
      </c>
      <c r="L49" s="6"/>
      <c r="M49" s="7"/>
      <c r="O49" s="8"/>
      <c r="P49" s="7"/>
    </row>
    <row r="50" spans="1:16">
      <c r="A50" s="2" t="s">
        <v>167</v>
      </c>
      <c r="B50" s="2" t="s">
        <v>272</v>
      </c>
      <c r="C50" s="2" t="s">
        <v>965</v>
      </c>
      <c r="D50" s="2">
        <v>182</v>
      </c>
      <c r="E50" s="2">
        <v>203</v>
      </c>
      <c r="F50" s="2">
        <v>179</v>
      </c>
      <c r="G50" s="2">
        <v>214</v>
      </c>
      <c r="H50" s="2">
        <v>158</v>
      </c>
      <c r="I50" s="2"/>
      <c r="J50" s="3">
        <f>SUM(D50:I50)</f>
        <v>936</v>
      </c>
      <c r="L50" s="2" t="s">
        <v>3</v>
      </c>
      <c r="M50" s="3">
        <f>SUM(D50:D57)</f>
        <v>893</v>
      </c>
      <c r="O50" s="4" t="str">
        <f>A50</f>
        <v>Wright State</v>
      </c>
      <c r="P50" s="3">
        <f>SUM(M50:M55)</f>
        <v>5688</v>
      </c>
    </row>
    <row r="51" spans="1:16">
      <c r="A51" s="2" t="s">
        <v>167</v>
      </c>
      <c r="B51" s="2" t="s">
        <v>966</v>
      </c>
      <c r="C51" s="2" t="s">
        <v>967</v>
      </c>
      <c r="D51" s="2">
        <v>167</v>
      </c>
      <c r="E51" s="2">
        <v>245</v>
      </c>
      <c r="F51" s="2">
        <v>179</v>
      </c>
      <c r="G51" s="2">
        <v>159</v>
      </c>
      <c r="H51" s="2">
        <v>186</v>
      </c>
      <c r="I51" s="2">
        <v>198</v>
      </c>
      <c r="J51" s="3">
        <f t="shared" ref="J51:J57" si="6">SUM(D51:I51)</f>
        <v>1134</v>
      </c>
      <c r="L51" s="2" t="s">
        <v>4</v>
      </c>
      <c r="M51" s="3">
        <f>SUM(E50:E57)</f>
        <v>1120</v>
      </c>
      <c r="O51" s="4"/>
      <c r="P51" s="3"/>
    </row>
    <row r="52" spans="1:16">
      <c r="A52" s="2" t="s">
        <v>167</v>
      </c>
      <c r="B52" s="2" t="s">
        <v>897</v>
      </c>
      <c r="C52" s="2" t="s">
        <v>968</v>
      </c>
      <c r="D52" s="2"/>
      <c r="E52" s="2"/>
      <c r="F52" s="2"/>
      <c r="G52" s="2">
        <v>192</v>
      </c>
      <c r="H52" s="2">
        <v>157</v>
      </c>
      <c r="I52" s="2">
        <v>183</v>
      </c>
      <c r="J52" s="3">
        <f t="shared" si="6"/>
        <v>532</v>
      </c>
      <c r="L52" s="2" t="s">
        <v>5</v>
      </c>
      <c r="M52" s="3">
        <f>SUM(F50:F57)</f>
        <v>862</v>
      </c>
      <c r="O52" s="4"/>
      <c r="P52" s="3"/>
    </row>
    <row r="53" spans="1:16">
      <c r="A53" s="2" t="s">
        <v>167</v>
      </c>
      <c r="B53" s="2" t="s">
        <v>969</v>
      </c>
      <c r="C53" s="2" t="s">
        <v>970</v>
      </c>
      <c r="D53" s="2"/>
      <c r="E53" s="2"/>
      <c r="F53" s="2"/>
      <c r="G53" s="2"/>
      <c r="H53" s="2"/>
      <c r="I53" s="2">
        <v>179</v>
      </c>
      <c r="J53" s="3">
        <f t="shared" si="6"/>
        <v>179</v>
      </c>
      <c r="L53" s="2" t="s">
        <v>6</v>
      </c>
      <c r="M53" s="3">
        <f>SUM(G50:G57)</f>
        <v>954</v>
      </c>
      <c r="O53" s="4"/>
      <c r="P53" s="3"/>
    </row>
    <row r="54" spans="1:16">
      <c r="A54" s="2" t="s">
        <v>167</v>
      </c>
      <c r="B54" s="2" t="s">
        <v>971</v>
      </c>
      <c r="C54" s="2" t="s">
        <v>972</v>
      </c>
      <c r="D54" s="2">
        <v>201</v>
      </c>
      <c r="E54" s="2">
        <v>258</v>
      </c>
      <c r="F54" s="2">
        <v>180</v>
      </c>
      <c r="G54" s="2">
        <v>199</v>
      </c>
      <c r="H54" s="2">
        <v>189</v>
      </c>
      <c r="I54" s="2">
        <v>219</v>
      </c>
      <c r="J54" s="3">
        <f t="shared" si="6"/>
        <v>1246</v>
      </c>
      <c r="L54" s="2" t="s">
        <v>7</v>
      </c>
      <c r="M54" s="3">
        <f>SUM(H50:H57)</f>
        <v>887</v>
      </c>
      <c r="O54" s="4"/>
      <c r="P54" s="3"/>
    </row>
    <row r="55" spans="1:16">
      <c r="A55" s="2" t="s">
        <v>167</v>
      </c>
      <c r="B55" s="2" t="s">
        <v>916</v>
      </c>
      <c r="C55" s="2" t="s">
        <v>973</v>
      </c>
      <c r="D55" s="2">
        <v>161</v>
      </c>
      <c r="E55" s="2">
        <v>226</v>
      </c>
      <c r="F55" s="2">
        <v>140</v>
      </c>
      <c r="G55" s="2"/>
      <c r="H55" s="2"/>
      <c r="I55" s="2"/>
      <c r="J55" s="3">
        <f t="shared" si="6"/>
        <v>527</v>
      </c>
      <c r="L55" s="2" t="s">
        <v>8</v>
      </c>
      <c r="M55" s="3">
        <f>SUM(I50:I57)</f>
        <v>972</v>
      </c>
      <c r="O55" s="4"/>
      <c r="P55" s="3"/>
    </row>
    <row r="56" spans="1:16">
      <c r="A56" s="2" t="s">
        <v>167</v>
      </c>
      <c r="B56" s="2" t="s">
        <v>974</v>
      </c>
      <c r="C56" s="2" t="s">
        <v>975</v>
      </c>
      <c r="D56" s="2">
        <v>182</v>
      </c>
      <c r="E56" s="2">
        <v>188</v>
      </c>
      <c r="F56" s="2">
        <v>184</v>
      </c>
      <c r="G56" s="2">
        <v>190</v>
      </c>
      <c r="H56" s="2">
        <v>197</v>
      </c>
      <c r="I56" s="2">
        <v>193</v>
      </c>
      <c r="J56" s="3">
        <f t="shared" si="6"/>
        <v>1134</v>
      </c>
      <c r="L56" s="3"/>
      <c r="M56" s="3"/>
      <c r="O56" s="4"/>
      <c r="P56" s="3"/>
    </row>
    <row r="57" spans="1:16">
      <c r="A57" s="2" t="s">
        <v>167</v>
      </c>
      <c r="B57" s="2"/>
      <c r="C57" s="2"/>
      <c r="D57" s="2"/>
      <c r="E57" s="2"/>
      <c r="F57" s="2"/>
      <c r="G57" s="2"/>
      <c r="H57" s="2"/>
      <c r="I57" s="2"/>
      <c r="J57" s="3">
        <f t="shared" si="6"/>
        <v>0</v>
      </c>
      <c r="L57" s="2"/>
      <c r="M57" s="3"/>
      <c r="O57" s="4"/>
      <c r="P57" s="3"/>
    </row>
    <row r="58" spans="1:16">
      <c r="A58" s="6" t="s">
        <v>281</v>
      </c>
      <c r="B58" s="6" t="s">
        <v>976</v>
      </c>
      <c r="C58" s="6" t="s">
        <v>977</v>
      </c>
      <c r="D58" s="6"/>
      <c r="E58" s="6"/>
      <c r="F58" s="6">
        <v>127</v>
      </c>
      <c r="G58" s="6"/>
      <c r="H58" s="6"/>
      <c r="I58" s="6"/>
      <c r="J58" s="6">
        <f>SUM(D58:I58)</f>
        <v>127</v>
      </c>
      <c r="L58" s="6" t="s">
        <v>3</v>
      </c>
      <c r="M58" s="7">
        <f>SUM(D58:D65)</f>
        <v>846</v>
      </c>
      <c r="O58" s="8" t="str">
        <f>A58</f>
        <v>Northern Kentucky</v>
      </c>
      <c r="P58" s="7">
        <f>SUM(M58:M63)</f>
        <v>5434</v>
      </c>
    </row>
    <row r="59" spans="1:16">
      <c r="A59" s="6" t="s">
        <v>281</v>
      </c>
      <c r="B59" s="6" t="s">
        <v>924</v>
      </c>
      <c r="C59" s="6" t="s">
        <v>978</v>
      </c>
      <c r="D59" s="6">
        <v>173</v>
      </c>
      <c r="E59" s="6">
        <v>179</v>
      </c>
      <c r="F59" s="6">
        <v>170</v>
      </c>
      <c r="G59" s="6">
        <v>189</v>
      </c>
      <c r="H59" s="6">
        <v>224</v>
      </c>
      <c r="I59" s="6">
        <v>180</v>
      </c>
      <c r="J59" s="6">
        <f t="shared" ref="J59:J65" si="7">SUM(D59:I59)</f>
        <v>1115</v>
      </c>
      <c r="L59" s="6" t="s">
        <v>4</v>
      </c>
      <c r="M59" s="7">
        <f>SUM(E58:E65)</f>
        <v>888</v>
      </c>
      <c r="O59" s="8"/>
      <c r="P59" s="7"/>
    </row>
    <row r="60" spans="1:16">
      <c r="A60" s="6" t="s">
        <v>281</v>
      </c>
      <c r="B60" s="6" t="s">
        <v>979</v>
      </c>
      <c r="C60" s="6" t="s">
        <v>980</v>
      </c>
      <c r="D60" s="6">
        <v>137</v>
      </c>
      <c r="E60" s="6">
        <v>157</v>
      </c>
      <c r="F60" s="6"/>
      <c r="G60" s="6">
        <v>138</v>
      </c>
      <c r="H60" s="6">
        <v>185</v>
      </c>
      <c r="I60" s="6">
        <v>162</v>
      </c>
      <c r="J60" s="6">
        <f t="shared" si="7"/>
        <v>779</v>
      </c>
      <c r="L60" s="6" t="s">
        <v>5</v>
      </c>
      <c r="M60" s="7">
        <f>SUM(F58:F65)</f>
        <v>880</v>
      </c>
      <c r="O60" s="8"/>
      <c r="P60" s="7"/>
    </row>
    <row r="61" spans="1:16">
      <c r="A61" s="6" t="s">
        <v>281</v>
      </c>
      <c r="B61" s="6" t="s">
        <v>897</v>
      </c>
      <c r="C61" s="6" t="s">
        <v>981</v>
      </c>
      <c r="D61" s="6">
        <v>188</v>
      </c>
      <c r="E61" s="6">
        <v>200</v>
      </c>
      <c r="F61" s="6">
        <v>196</v>
      </c>
      <c r="G61" s="6">
        <v>214</v>
      </c>
      <c r="H61" s="6">
        <v>181</v>
      </c>
      <c r="I61" s="6">
        <v>195</v>
      </c>
      <c r="J61" s="6">
        <f t="shared" si="7"/>
        <v>1174</v>
      </c>
      <c r="L61" s="6" t="s">
        <v>6</v>
      </c>
      <c r="M61" s="7">
        <f>SUM(G58:G65)</f>
        <v>902</v>
      </c>
      <c r="O61" s="8"/>
      <c r="P61" s="7"/>
    </row>
    <row r="62" spans="1:16">
      <c r="A62" s="6" t="s">
        <v>281</v>
      </c>
      <c r="B62" s="6" t="s">
        <v>982</v>
      </c>
      <c r="C62" s="6" t="s">
        <v>983</v>
      </c>
      <c r="D62" s="6"/>
      <c r="E62" s="6"/>
      <c r="F62" s="6"/>
      <c r="G62" s="6"/>
      <c r="H62" s="6"/>
      <c r="I62" s="6"/>
      <c r="J62" s="6">
        <f t="shared" si="7"/>
        <v>0</v>
      </c>
      <c r="L62" s="6" t="s">
        <v>7</v>
      </c>
      <c r="M62" s="7">
        <f>SUM(H58:H65)</f>
        <v>962</v>
      </c>
      <c r="O62" s="8"/>
      <c r="P62" s="7"/>
    </row>
    <row r="63" spans="1:16">
      <c r="A63" s="6" t="s">
        <v>281</v>
      </c>
      <c r="B63" s="6" t="s">
        <v>984</v>
      </c>
      <c r="C63" s="6" t="s">
        <v>985</v>
      </c>
      <c r="D63" s="6">
        <v>174</v>
      </c>
      <c r="E63" s="6">
        <v>165</v>
      </c>
      <c r="F63" s="6">
        <v>194</v>
      </c>
      <c r="G63" s="6">
        <v>134</v>
      </c>
      <c r="H63" s="6">
        <v>180</v>
      </c>
      <c r="I63" s="6">
        <v>199</v>
      </c>
      <c r="J63" s="6">
        <f t="shared" si="7"/>
        <v>1046</v>
      </c>
      <c r="L63" s="6" t="s">
        <v>8</v>
      </c>
      <c r="M63" s="7">
        <f>SUM(I58:I65)</f>
        <v>956</v>
      </c>
      <c r="O63" s="8"/>
      <c r="P63" s="7"/>
    </row>
    <row r="64" spans="1:16">
      <c r="A64" s="6" t="s">
        <v>281</v>
      </c>
      <c r="B64" s="6" t="s">
        <v>986</v>
      </c>
      <c r="C64" s="6" t="s">
        <v>987</v>
      </c>
      <c r="D64" s="6">
        <v>174</v>
      </c>
      <c r="E64" s="6">
        <v>187</v>
      </c>
      <c r="F64" s="6">
        <v>193</v>
      </c>
      <c r="G64" s="6">
        <v>227</v>
      </c>
      <c r="H64" s="6">
        <v>192</v>
      </c>
      <c r="I64" s="6">
        <v>220</v>
      </c>
      <c r="J64" s="6">
        <f t="shared" si="7"/>
        <v>1193</v>
      </c>
      <c r="L64" s="6"/>
      <c r="M64" s="7"/>
      <c r="O64" s="8"/>
      <c r="P64" s="7"/>
    </row>
    <row r="65" spans="1:16">
      <c r="A65" s="6" t="s">
        <v>281</v>
      </c>
      <c r="B65" s="6"/>
      <c r="C65" s="6"/>
      <c r="D65" s="6"/>
      <c r="E65" s="6"/>
      <c r="F65" s="6"/>
      <c r="G65" s="6"/>
      <c r="H65" s="6"/>
      <c r="I65" s="6"/>
      <c r="J65" s="6">
        <f t="shared" si="7"/>
        <v>0</v>
      </c>
      <c r="L65" s="6"/>
      <c r="M65" s="7"/>
      <c r="O65" s="8"/>
      <c r="P65" s="7"/>
    </row>
    <row r="66" spans="1:16">
      <c r="A66" s="2" t="s">
        <v>425</v>
      </c>
      <c r="B66" s="2" t="s">
        <v>988</v>
      </c>
      <c r="C66" s="2" t="s">
        <v>989</v>
      </c>
      <c r="D66" s="2">
        <v>183</v>
      </c>
      <c r="E66" s="2">
        <v>256</v>
      </c>
      <c r="F66" s="2">
        <v>173</v>
      </c>
      <c r="G66" s="2">
        <v>216</v>
      </c>
      <c r="H66" s="2">
        <v>188</v>
      </c>
      <c r="I66" s="2">
        <v>179</v>
      </c>
      <c r="J66" s="3">
        <f>SUM(D66:I66)</f>
        <v>1195</v>
      </c>
      <c r="L66" s="2" t="s">
        <v>3</v>
      </c>
      <c r="M66" s="3">
        <f>SUM(D66:D73)</f>
        <v>756</v>
      </c>
      <c r="O66" s="4" t="str">
        <f>A66</f>
        <v>Purdue</v>
      </c>
      <c r="P66" s="3">
        <f>SUM(M66:M71)</f>
        <v>4772</v>
      </c>
    </row>
    <row r="67" spans="1:16">
      <c r="A67" s="2" t="s">
        <v>425</v>
      </c>
      <c r="B67" s="2" t="s">
        <v>990</v>
      </c>
      <c r="C67" s="2" t="s">
        <v>991</v>
      </c>
      <c r="D67" s="2">
        <v>114</v>
      </c>
      <c r="E67" s="2"/>
      <c r="F67" s="2"/>
      <c r="G67" s="2">
        <v>148</v>
      </c>
      <c r="H67" s="2"/>
      <c r="I67" s="2">
        <v>160</v>
      </c>
      <c r="J67" s="3">
        <f t="shared" ref="J67:J73" si="8">SUM(D67:I67)</f>
        <v>422</v>
      </c>
      <c r="L67" s="2" t="s">
        <v>4</v>
      </c>
      <c r="M67" s="3">
        <f>SUM(E66:E73)</f>
        <v>883</v>
      </c>
      <c r="O67" s="4"/>
      <c r="P67" s="3"/>
    </row>
    <row r="68" spans="1:16">
      <c r="A68" s="2" t="s">
        <v>425</v>
      </c>
      <c r="B68" s="2" t="s">
        <v>530</v>
      </c>
      <c r="C68" s="2" t="s">
        <v>992</v>
      </c>
      <c r="D68" s="2"/>
      <c r="E68" s="2">
        <v>127</v>
      </c>
      <c r="F68" s="2"/>
      <c r="G68" s="2"/>
      <c r="H68" s="2">
        <v>132</v>
      </c>
      <c r="I68" s="2">
        <v>141</v>
      </c>
      <c r="J68" s="3">
        <f t="shared" si="8"/>
        <v>400</v>
      </c>
      <c r="L68" s="2" t="s">
        <v>5</v>
      </c>
      <c r="M68" s="3">
        <f>SUM(F66:F73)</f>
        <v>729</v>
      </c>
      <c r="O68" s="4"/>
      <c r="P68" s="3"/>
    </row>
    <row r="69" spans="1:16">
      <c r="A69" s="2" t="s">
        <v>425</v>
      </c>
      <c r="B69" s="2" t="s">
        <v>993</v>
      </c>
      <c r="C69" s="2" t="s">
        <v>994</v>
      </c>
      <c r="D69" s="2">
        <v>151</v>
      </c>
      <c r="E69" s="2">
        <v>180</v>
      </c>
      <c r="F69" s="2">
        <v>159</v>
      </c>
      <c r="G69" s="2">
        <v>188</v>
      </c>
      <c r="H69" s="2">
        <v>134</v>
      </c>
      <c r="I69" s="2"/>
      <c r="J69" s="3">
        <f t="shared" si="8"/>
        <v>812</v>
      </c>
      <c r="L69" s="2" t="s">
        <v>6</v>
      </c>
      <c r="M69" s="3">
        <f>SUM(G66:G73)</f>
        <v>878</v>
      </c>
      <c r="O69" s="4"/>
      <c r="P69" s="3"/>
    </row>
    <row r="70" spans="1:16">
      <c r="A70" s="2" t="s">
        <v>425</v>
      </c>
      <c r="B70" s="2" t="s">
        <v>924</v>
      </c>
      <c r="C70" s="2" t="s">
        <v>995</v>
      </c>
      <c r="D70" s="2"/>
      <c r="E70" s="2">
        <v>147</v>
      </c>
      <c r="F70" s="2"/>
      <c r="G70" s="2">
        <v>172</v>
      </c>
      <c r="H70" s="2">
        <v>115</v>
      </c>
      <c r="I70" s="2"/>
      <c r="J70" s="3">
        <f t="shared" si="8"/>
        <v>434</v>
      </c>
      <c r="L70" s="2" t="s">
        <v>7</v>
      </c>
      <c r="M70" s="3">
        <f>SUM(H66:H73)</f>
        <v>697</v>
      </c>
      <c r="O70" s="4"/>
      <c r="P70" s="3"/>
    </row>
    <row r="71" spans="1:16">
      <c r="A71" s="2" t="s">
        <v>425</v>
      </c>
      <c r="B71" s="2" t="s">
        <v>984</v>
      </c>
      <c r="C71" s="2" t="s">
        <v>996</v>
      </c>
      <c r="D71" s="2"/>
      <c r="E71" s="2"/>
      <c r="F71" s="2">
        <v>138</v>
      </c>
      <c r="G71" s="2"/>
      <c r="H71" s="2"/>
      <c r="I71" s="2">
        <v>215</v>
      </c>
      <c r="J71" s="3">
        <f t="shared" si="8"/>
        <v>353</v>
      </c>
      <c r="L71" s="2" t="s">
        <v>8</v>
      </c>
      <c r="M71" s="3">
        <f>SUM(I66:I73)</f>
        <v>829</v>
      </c>
      <c r="O71" s="4"/>
      <c r="P71" s="3"/>
    </row>
    <row r="72" spans="1:16">
      <c r="A72" s="2" t="s">
        <v>425</v>
      </c>
      <c r="B72" s="2" t="s">
        <v>997</v>
      </c>
      <c r="C72" s="2" t="s">
        <v>998</v>
      </c>
      <c r="D72" s="2">
        <v>168</v>
      </c>
      <c r="E72" s="2">
        <v>173</v>
      </c>
      <c r="F72" s="2">
        <v>123</v>
      </c>
      <c r="G72" s="2">
        <v>154</v>
      </c>
      <c r="H72" s="2">
        <v>128</v>
      </c>
      <c r="I72" s="2"/>
      <c r="J72" s="3">
        <f t="shared" si="8"/>
        <v>746</v>
      </c>
      <c r="L72" s="3"/>
      <c r="M72" s="3"/>
      <c r="O72" s="4"/>
      <c r="P72" s="3"/>
    </row>
    <row r="73" spans="1:16">
      <c r="A73" s="2" t="s">
        <v>425</v>
      </c>
      <c r="B73" s="2" t="s">
        <v>94</v>
      </c>
      <c r="C73" s="2" t="s">
        <v>999</v>
      </c>
      <c r="D73" s="2">
        <v>140</v>
      </c>
      <c r="E73" s="2"/>
      <c r="F73" s="2">
        <v>136</v>
      </c>
      <c r="G73" s="2"/>
      <c r="H73" s="2"/>
      <c r="I73" s="2">
        <v>134</v>
      </c>
      <c r="J73" s="3">
        <f t="shared" si="8"/>
        <v>410</v>
      </c>
      <c r="L73" s="2"/>
      <c r="M73" s="3"/>
      <c r="O73" s="4"/>
      <c r="P73" s="3"/>
    </row>
    <row r="74" spans="1:16">
      <c r="A74" s="6" t="s">
        <v>262</v>
      </c>
      <c r="B74" s="6" t="s">
        <v>1000</v>
      </c>
      <c r="C74" s="6" t="s">
        <v>1001</v>
      </c>
      <c r="D74" s="6">
        <v>177</v>
      </c>
      <c r="E74" s="6">
        <v>173</v>
      </c>
      <c r="F74" s="6">
        <v>160</v>
      </c>
      <c r="G74" s="6">
        <v>158</v>
      </c>
      <c r="H74" s="6">
        <v>191</v>
      </c>
      <c r="I74" s="6">
        <v>173</v>
      </c>
      <c r="J74" s="6">
        <f>SUM(D74:I74)</f>
        <v>1032</v>
      </c>
      <c r="L74" s="6" t="s">
        <v>3</v>
      </c>
      <c r="M74" s="7">
        <f>SUM(D74:D81)</f>
        <v>675</v>
      </c>
      <c r="O74" s="8" t="str">
        <f>A74</f>
        <v>Robert Morris - Lake County</v>
      </c>
      <c r="P74" s="7">
        <f>SUM(M74:M79)</f>
        <v>4255</v>
      </c>
    </row>
    <row r="75" spans="1:16">
      <c r="A75" s="6" t="s">
        <v>262</v>
      </c>
      <c r="B75" s="6" t="s">
        <v>1002</v>
      </c>
      <c r="C75" s="6" t="s">
        <v>1003</v>
      </c>
      <c r="D75" s="6"/>
      <c r="E75" s="6"/>
      <c r="F75" s="6"/>
      <c r="G75" s="6"/>
      <c r="H75" s="6"/>
      <c r="I75" s="6"/>
      <c r="J75" s="6">
        <f t="shared" ref="J75:J81" si="9">SUM(D75:I75)</f>
        <v>0</v>
      </c>
      <c r="L75" s="6" t="s">
        <v>4</v>
      </c>
      <c r="M75" s="7">
        <f>SUM(E74:E81)</f>
        <v>777</v>
      </c>
      <c r="O75" s="8"/>
      <c r="P75" s="7"/>
    </row>
    <row r="76" spans="1:16">
      <c r="A76" s="6" t="s">
        <v>262</v>
      </c>
      <c r="B76" s="6" t="s">
        <v>907</v>
      </c>
      <c r="C76" s="6" t="s">
        <v>1004</v>
      </c>
      <c r="D76" s="6">
        <v>110</v>
      </c>
      <c r="E76" s="6">
        <v>165</v>
      </c>
      <c r="F76" s="6">
        <v>190</v>
      </c>
      <c r="G76" s="6">
        <v>149</v>
      </c>
      <c r="H76" s="6">
        <v>142</v>
      </c>
      <c r="I76" s="6">
        <v>111</v>
      </c>
      <c r="J76" s="6">
        <f t="shared" si="9"/>
        <v>867</v>
      </c>
      <c r="L76" s="6" t="s">
        <v>5</v>
      </c>
      <c r="M76" s="7">
        <f>SUM(F74:F81)</f>
        <v>745</v>
      </c>
      <c r="O76" s="8"/>
      <c r="P76" s="7"/>
    </row>
    <row r="77" spans="1:16">
      <c r="A77" s="6" t="s">
        <v>262</v>
      </c>
      <c r="B77" s="6" t="s">
        <v>1005</v>
      </c>
      <c r="C77" s="6" t="s">
        <v>1006</v>
      </c>
      <c r="D77" s="6">
        <v>119</v>
      </c>
      <c r="E77" s="6">
        <v>119</v>
      </c>
      <c r="F77" s="6">
        <v>124</v>
      </c>
      <c r="G77" s="6">
        <v>126</v>
      </c>
      <c r="H77" s="6">
        <v>127</v>
      </c>
      <c r="I77" s="6">
        <v>136</v>
      </c>
      <c r="J77" s="6">
        <f t="shared" si="9"/>
        <v>751</v>
      </c>
      <c r="L77" s="6" t="s">
        <v>6</v>
      </c>
      <c r="M77" s="7">
        <f>SUM(G74:G81)</f>
        <v>698</v>
      </c>
      <c r="O77" s="8"/>
      <c r="P77" s="7"/>
    </row>
    <row r="78" spans="1:16">
      <c r="A78" s="6" t="s">
        <v>262</v>
      </c>
      <c r="B78" s="6" t="s">
        <v>1007</v>
      </c>
      <c r="C78" s="6" t="s">
        <v>1008</v>
      </c>
      <c r="D78" s="6">
        <v>171</v>
      </c>
      <c r="E78" s="6">
        <v>205</v>
      </c>
      <c r="F78" s="6">
        <v>194</v>
      </c>
      <c r="G78" s="6">
        <v>178</v>
      </c>
      <c r="H78" s="6">
        <v>152</v>
      </c>
      <c r="I78" s="6">
        <v>129</v>
      </c>
      <c r="J78" s="6">
        <f t="shared" si="9"/>
        <v>1029</v>
      </c>
      <c r="L78" s="6" t="s">
        <v>7</v>
      </c>
      <c r="M78" s="7">
        <f>SUM(H74:H81)</f>
        <v>715</v>
      </c>
      <c r="O78" s="8"/>
      <c r="P78" s="7"/>
    </row>
    <row r="79" spans="1:16">
      <c r="A79" s="6" t="s">
        <v>262</v>
      </c>
      <c r="B79" s="6" t="s">
        <v>1009</v>
      </c>
      <c r="C79" s="6" t="s">
        <v>1010</v>
      </c>
      <c r="D79" s="6"/>
      <c r="E79" s="6">
        <v>115</v>
      </c>
      <c r="F79" s="6"/>
      <c r="G79" s="6">
        <v>87</v>
      </c>
      <c r="H79" s="6"/>
      <c r="I79" s="6">
        <v>96</v>
      </c>
      <c r="J79" s="6">
        <f t="shared" si="9"/>
        <v>298</v>
      </c>
      <c r="L79" s="6" t="s">
        <v>8</v>
      </c>
      <c r="M79" s="7">
        <f>SUM(I74:I81)</f>
        <v>645</v>
      </c>
      <c r="O79" s="8"/>
      <c r="P79" s="7"/>
    </row>
    <row r="80" spans="1:16">
      <c r="A80" s="6" t="s">
        <v>262</v>
      </c>
      <c r="B80" s="6" t="s">
        <v>1011</v>
      </c>
      <c r="C80" s="6" t="s">
        <v>1012</v>
      </c>
      <c r="D80" s="6">
        <v>98</v>
      </c>
      <c r="E80" s="6"/>
      <c r="F80" s="6">
        <v>77</v>
      </c>
      <c r="G80" s="6"/>
      <c r="H80" s="6">
        <v>103</v>
      </c>
      <c r="I80" s="6"/>
      <c r="J80" s="6">
        <f t="shared" si="9"/>
        <v>278</v>
      </c>
      <c r="L80" s="6"/>
      <c r="M80" s="7"/>
      <c r="O80" s="8"/>
      <c r="P80" s="7"/>
    </row>
    <row r="81" spans="1:16">
      <c r="A81" s="6" t="s">
        <v>262</v>
      </c>
      <c r="B81" s="6"/>
      <c r="C81" s="6"/>
      <c r="D81" s="6"/>
      <c r="E81" s="6"/>
      <c r="F81" s="6"/>
      <c r="G81" s="6"/>
      <c r="H81" s="6"/>
      <c r="I81" s="6"/>
      <c r="J81" s="6">
        <f t="shared" si="9"/>
        <v>0</v>
      </c>
      <c r="L81" s="6"/>
      <c r="M81" s="7"/>
      <c r="O81" s="8"/>
      <c r="P81" s="7"/>
    </row>
    <row r="82" spans="1:16">
      <c r="A82" s="2" t="s">
        <v>438</v>
      </c>
      <c r="B82" s="2" t="s">
        <v>1013</v>
      </c>
      <c r="C82" s="2" t="s">
        <v>1014</v>
      </c>
      <c r="D82" s="2">
        <v>221</v>
      </c>
      <c r="E82" s="2">
        <v>143</v>
      </c>
      <c r="F82" s="2">
        <v>186</v>
      </c>
      <c r="G82" s="2">
        <v>192</v>
      </c>
      <c r="H82" s="2">
        <v>193</v>
      </c>
      <c r="I82" s="2">
        <v>202</v>
      </c>
      <c r="J82" s="3">
        <f>SUM(D82:I82)</f>
        <v>1137</v>
      </c>
      <c r="L82" s="2" t="s">
        <v>3</v>
      </c>
      <c r="M82" s="3">
        <f>SUM(D82:D89)</f>
        <v>998</v>
      </c>
      <c r="O82" s="4" t="str">
        <f>A82</f>
        <v>Marian</v>
      </c>
      <c r="P82" s="3">
        <f>SUM(M82:M87)</f>
        <v>5526</v>
      </c>
    </row>
    <row r="83" spans="1:16">
      <c r="A83" s="2" t="s">
        <v>438</v>
      </c>
      <c r="B83" s="2" t="s">
        <v>1015</v>
      </c>
      <c r="C83" s="2" t="s">
        <v>1016</v>
      </c>
      <c r="D83" s="2">
        <v>206</v>
      </c>
      <c r="E83" s="2">
        <v>157</v>
      </c>
      <c r="F83" s="2">
        <v>171</v>
      </c>
      <c r="G83" s="2">
        <v>186</v>
      </c>
      <c r="H83" s="2">
        <v>182</v>
      </c>
      <c r="I83" s="2">
        <v>200</v>
      </c>
      <c r="J83" s="3">
        <f t="shared" ref="J83:J89" si="10">SUM(D83:I83)</f>
        <v>1102</v>
      </c>
      <c r="L83" s="2" t="s">
        <v>4</v>
      </c>
      <c r="M83" s="3">
        <f>SUM(E82:E89)</f>
        <v>828</v>
      </c>
      <c r="O83" s="4"/>
      <c r="P83" s="3"/>
    </row>
    <row r="84" spans="1:16">
      <c r="A84" s="2" t="s">
        <v>438</v>
      </c>
      <c r="B84" s="2" t="s">
        <v>924</v>
      </c>
      <c r="C84" s="2" t="s">
        <v>1017</v>
      </c>
      <c r="D84" s="2">
        <v>173</v>
      </c>
      <c r="E84" s="2">
        <v>161</v>
      </c>
      <c r="F84" s="2">
        <v>169</v>
      </c>
      <c r="G84" s="2">
        <v>183</v>
      </c>
      <c r="H84" s="2">
        <v>202</v>
      </c>
      <c r="I84" s="2">
        <v>190</v>
      </c>
      <c r="J84" s="3">
        <f t="shared" si="10"/>
        <v>1078</v>
      </c>
      <c r="L84" s="2" t="s">
        <v>5</v>
      </c>
      <c r="M84" s="3">
        <f>SUM(F82:F89)</f>
        <v>840</v>
      </c>
      <c r="O84" s="4"/>
      <c r="P84" s="3"/>
    </row>
    <row r="85" spans="1:16">
      <c r="A85" s="2" t="s">
        <v>438</v>
      </c>
      <c r="B85" s="2" t="s">
        <v>907</v>
      </c>
      <c r="C85" s="2" t="s">
        <v>1018</v>
      </c>
      <c r="D85" s="2">
        <v>167</v>
      </c>
      <c r="E85" s="2">
        <v>154</v>
      </c>
      <c r="F85" s="2">
        <v>177</v>
      </c>
      <c r="G85" s="2">
        <v>146</v>
      </c>
      <c r="H85" s="2"/>
      <c r="I85" s="2"/>
      <c r="J85" s="3">
        <f t="shared" si="10"/>
        <v>644</v>
      </c>
      <c r="L85" s="2" t="s">
        <v>6</v>
      </c>
      <c r="M85" s="3">
        <f>SUM(G82:G89)</f>
        <v>947</v>
      </c>
      <c r="O85" s="4"/>
      <c r="P85" s="3"/>
    </row>
    <row r="86" spans="1:16">
      <c r="A86" s="2" t="s">
        <v>438</v>
      </c>
      <c r="B86" s="2" t="s">
        <v>1019</v>
      </c>
      <c r="C86" s="2" t="s">
        <v>1020</v>
      </c>
      <c r="D86" s="2"/>
      <c r="E86" s="2"/>
      <c r="F86" s="2"/>
      <c r="G86" s="2"/>
      <c r="H86" s="2"/>
      <c r="I86" s="2"/>
      <c r="J86" s="3">
        <f t="shared" si="10"/>
        <v>0</v>
      </c>
      <c r="L86" s="2" t="s">
        <v>7</v>
      </c>
      <c r="M86" s="3">
        <f>SUM(H82:H89)</f>
        <v>952</v>
      </c>
      <c r="O86" s="4"/>
      <c r="P86" s="3"/>
    </row>
    <row r="87" spans="1:16">
      <c r="A87" s="2" t="s">
        <v>438</v>
      </c>
      <c r="B87" s="2" t="s">
        <v>945</v>
      </c>
      <c r="C87" s="2" t="s">
        <v>1021</v>
      </c>
      <c r="D87" s="2"/>
      <c r="E87" s="2"/>
      <c r="F87" s="2"/>
      <c r="G87" s="2"/>
      <c r="H87" s="2">
        <v>160</v>
      </c>
      <c r="I87" s="2">
        <v>177</v>
      </c>
      <c r="J87" s="3">
        <f t="shared" si="10"/>
        <v>337</v>
      </c>
      <c r="L87" s="2" t="s">
        <v>8</v>
      </c>
      <c r="M87" s="3">
        <f>SUM(I82:I89)</f>
        <v>961</v>
      </c>
      <c r="O87" s="4"/>
      <c r="P87" s="3"/>
    </row>
    <row r="88" spans="1:16">
      <c r="A88" s="2" t="s">
        <v>438</v>
      </c>
      <c r="B88" s="2" t="s">
        <v>916</v>
      </c>
      <c r="C88" s="2" t="s">
        <v>1022</v>
      </c>
      <c r="D88" s="2"/>
      <c r="E88" s="2"/>
      <c r="F88" s="2"/>
      <c r="G88" s="2"/>
      <c r="H88" s="2"/>
      <c r="I88" s="2"/>
      <c r="J88" s="3">
        <f t="shared" si="10"/>
        <v>0</v>
      </c>
      <c r="L88" s="3"/>
      <c r="M88" s="3"/>
      <c r="O88" s="4"/>
      <c r="P88" s="3"/>
    </row>
    <row r="89" spans="1:16">
      <c r="A89" s="4" t="s">
        <v>438</v>
      </c>
      <c r="B89" s="2" t="s">
        <v>97</v>
      </c>
      <c r="C89" s="2" t="s">
        <v>1023</v>
      </c>
      <c r="D89" s="2">
        <v>231</v>
      </c>
      <c r="E89" s="2">
        <v>213</v>
      </c>
      <c r="F89" s="2">
        <v>137</v>
      </c>
      <c r="G89" s="2">
        <v>240</v>
      </c>
      <c r="H89" s="2">
        <v>215</v>
      </c>
      <c r="I89" s="2">
        <v>192</v>
      </c>
      <c r="J89" s="3">
        <f t="shared" si="10"/>
        <v>1228</v>
      </c>
      <c r="L89" s="2"/>
      <c r="M89" s="3"/>
      <c r="O89" s="4"/>
      <c r="P89" s="3"/>
    </row>
    <row r="90" spans="1:16">
      <c r="A90" s="6" t="s">
        <v>1024</v>
      </c>
      <c r="B90" s="6" t="s">
        <v>1025</v>
      </c>
      <c r="C90" s="6" t="s">
        <v>1026</v>
      </c>
      <c r="D90" s="6"/>
      <c r="E90" s="6"/>
      <c r="F90" s="6"/>
      <c r="G90" s="6"/>
      <c r="H90" s="6"/>
      <c r="I90" s="6"/>
      <c r="J90" s="6">
        <f>SUM(D90:I90)</f>
        <v>0</v>
      </c>
      <c r="L90" s="6" t="s">
        <v>3</v>
      </c>
      <c r="M90" s="7">
        <f>SUM(D90:D97)</f>
        <v>892</v>
      </c>
      <c r="O90" s="8" t="str">
        <f>A90</f>
        <v>Savannah College</v>
      </c>
      <c r="P90" s="7">
        <f>SUM(M90:M95)</f>
        <v>5403</v>
      </c>
    </row>
    <row r="91" spans="1:16">
      <c r="A91" s="6" t="s">
        <v>1024</v>
      </c>
      <c r="B91" s="6" t="s">
        <v>1027</v>
      </c>
      <c r="C91" s="6" t="s">
        <v>1028</v>
      </c>
      <c r="D91" s="6"/>
      <c r="E91" s="6">
        <v>153</v>
      </c>
      <c r="F91" s="6">
        <v>167</v>
      </c>
      <c r="G91" s="6">
        <v>190</v>
      </c>
      <c r="H91" s="6"/>
      <c r="I91" s="6">
        <v>182</v>
      </c>
      <c r="J91" s="6">
        <f t="shared" ref="J91:J97" si="11">SUM(D91:I91)</f>
        <v>692</v>
      </c>
      <c r="L91" s="6" t="s">
        <v>4</v>
      </c>
      <c r="M91" s="7">
        <f>SUM(E90:E97)</f>
        <v>875</v>
      </c>
      <c r="O91" s="8"/>
      <c r="P91" s="7"/>
    </row>
    <row r="92" spans="1:16">
      <c r="A92" s="6" t="s">
        <v>1024</v>
      </c>
      <c r="B92" s="6" t="s">
        <v>1029</v>
      </c>
      <c r="C92" s="6" t="s">
        <v>762</v>
      </c>
      <c r="D92" s="6">
        <v>185</v>
      </c>
      <c r="E92" s="6">
        <v>117</v>
      </c>
      <c r="F92" s="6"/>
      <c r="G92" s="6"/>
      <c r="H92" s="6">
        <v>157</v>
      </c>
      <c r="I92" s="6"/>
      <c r="J92" s="6">
        <f t="shared" si="11"/>
        <v>459</v>
      </c>
      <c r="L92" s="6" t="s">
        <v>5</v>
      </c>
      <c r="M92" s="7">
        <f>SUM(F90:F97)</f>
        <v>961</v>
      </c>
      <c r="O92" s="8"/>
      <c r="P92" s="7"/>
    </row>
    <row r="93" spans="1:16">
      <c r="A93" s="6" t="s">
        <v>1024</v>
      </c>
      <c r="B93" s="6" t="s">
        <v>1030</v>
      </c>
      <c r="C93" s="6" t="s">
        <v>1031</v>
      </c>
      <c r="D93" s="6">
        <v>178</v>
      </c>
      <c r="E93" s="6">
        <v>209</v>
      </c>
      <c r="F93" s="6">
        <v>213</v>
      </c>
      <c r="G93" s="6">
        <v>205</v>
      </c>
      <c r="H93" s="6">
        <v>212</v>
      </c>
      <c r="I93" s="6">
        <v>182</v>
      </c>
      <c r="J93" s="6">
        <f t="shared" si="11"/>
        <v>1199</v>
      </c>
      <c r="L93" s="6" t="s">
        <v>6</v>
      </c>
      <c r="M93" s="7">
        <f>SUM(G90:G97)</f>
        <v>930</v>
      </c>
      <c r="O93" s="8"/>
      <c r="P93" s="7"/>
    </row>
    <row r="94" spans="1:16">
      <c r="A94" s="6" t="s">
        <v>1024</v>
      </c>
      <c r="B94" s="6" t="s">
        <v>1032</v>
      </c>
      <c r="C94" s="6" t="s">
        <v>1033</v>
      </c>
      <c r="D94" s="6">
        <v>204</v>
      </c>
      <c r="E94" s="6">
        <v>210</v>
      </c>
      <c r="F94" s="6">
        <v>167</v>
      </c>
      <c r="G94" s="6">
        <v>168</v>
      </c>
      <c r="H94" s="6">
        <v>124</v>
      </c>
      <c r="I94" s="6">
        <v>150</v>
      </c>
      <c r="J94" s="6">
        <f t="shared" si="11"/>
        <v>1023</v>
      </c>
      <c r="L94" s="6" t="s">
        <v>7</v>
      </c>
      <c r="M94" s="7">
        <f>SUM(H90:H97)</f>
        <v>911</v>
      </c>
      <c r="O94" s="8"/>
      <c r="P94" s="7"/>
    </row>
    <row r="95" spans="1:16">
      <c r="A95" s="6" t="s">
        <v>1024</v>
      </c>
      <c r="B95" s="6" t="s">
        <v>1034</v>
      </c>
      <c r="C95" s="6" t="s">
        <v>1035</v>
      </c>
      <c r="D95" s="6">
        <v>150</v>
      </c>
      <c r="E95" s="6"/>
      <c r="F95" s="6">
        <v>182</v>
      </c>
      <c r="G95" s="6">
        <v>168</v>
      </c>
      <c r="H95" s="6">
        <v>234</v>
      </c>
      <c r="I95" s="6">
        <v>139</v>
      </c>
      <c r="J95" s="6">
        <f t="shared" si="11"/>
        <v>873</v>
      </c>
      <c r="L95" s="6" t="s">
        <v>8</v>
      </c>
      <c r="M95" s="7">
        <f>SUM(I90:I97)</f>
        <v>834</v>
      </c>
      <c r="O95" s="8"/>
      <c r="P95" s="7"/>
    </row>
    <row r="96" spans="1:16">
      <c r="A96" s="6" t="s">
        <v>1024</v>
      </c>
      <c r="B96" s="6" t="s">
        <v>1036</v>
      </c>
      <c r="C96" s="6" t="s">
        <v>1037</v>
      </c>
      <c r="D96" s="6">
        <v>175</v>
      </c>
      <c r="E96" s="6">
        <v>186</v>
      </c>
      <c r="F96" s="6">
        <v>232</v>
      </c>
      <c r="G96" s="6">
        <v>199</v>
      </c>
      <c r="H96" s="6">
        <v>184</v>
      </c>
      <c r="I96" s="6">
        <v>181</v>
      </c>
      <c r="J96" s="6">
        <f t="shared" si="11"/>
        <v>1157</v>
      </c>
      <c r="L96" s="6"/>
      <c r="M96" s="7"/>
      <c r="O96" s="8"/>
      <c r="P96" s="7"/>
    </row>
    <row r="97" spans="1:16">
      <c r="A97" s="6" t="s">
        <v>1024</v>
      </c>
      <c r="B97" s="6"/>
      <c r="C97" s="6"/>
      <c r="D97" s="6"/>
      <c r="E97" s="6"/>
      <c r="F97" s="6"/>
      <c r="G97" s="6"/>
      <c r="H97" s="6"/>
      <c r="I97" s="6"/>
      <c r="J97" s="6">
        <f t="shared" si="11"/>
        <v>0</v>
      </c>
      <c r="L97" s="6"/>
      <c r="M97" s="7"/>
      <c r="O97" s="8"/>
      <c r="P97" s="7"/>
    </row>
    <row r="98" spans="1:16">
      <c r="A98" s="2" t="s">
        <v>205</v>
      </c>
      <c r="B98" s="2" t="s">
        <v>1038</v>
      </c>
      <c r="C98" s="2" t="s">
        <v>1039</v>
      </c>
      <c r="D98" s="2">
        <v>161</v>
      </c>
      <c r="E98" s="2">
        <v>173</v>
      </c>
      <c r="F98" s="2">
        <v>266</v>
      </c>
      <c r="G98" s="2">
        <v>180</v>
      </c>
      <c r="H98" s="2">
        <v>165</v>
      </c>
      <c r="I98" s="2">
        <v>191</v>
      </c>
      <c r="J98" s="3">
        <f>SUM(D98:I98)</f>
        <v>1136</v>
      </c>
      <c r="L98" s="2" t="s">
        <v>3</v>
      </c>
      <c r="M98" s="3">
        <f>SUM(D98:D105)</f>
        <v>940</v>
      </c>
      <c r="O98" s="4" t="str">
        <f>A98</f>
        <v>Urbana</v>
      </c>
      <c r="P98" s="3">
        <f>SUM(M98:M103)</f>
        <v>5689</v>
      </c>
    </row>
    <row r="99" spans="1:16">
      <c r="A99" s="2" t="s">
        <v>205</v>
      </c>
      <c r="B99" s="2" t="s">
        <v>1040</v>
      </c>
      <c r="C99" s="2" t="s">
        <v>1041</v>
      </c>
      <c r="D99" s="2"/>
      <c r="E99" s="2"/>
      <c r="F99" s="2"/>
      <c r="G99" s="2"/>
      <c r="H99" s="2"/>
      <c r="I99" s="2"/>
      <c r="J99" s="3">
        <f t="shared" ref="J99:J105" si="12">SUM(D99:I99)</f>
        <v>0</v>
      </c>
      <c r="L99" s="2" t="s">
        <v>4</v>
      </c>
      <c r="M99" s="3">
        <f>SUM(E98:E105)</f>
        <v>900</v>
      </c>
      <c r="O99" s="4"/>
      <c r="P99" s="3"/>
    </row>
    <row r="100" spans="1:16">
      <c r="A100" s="2" t="s">
        <v>205</v>
      </c>
      <c r="B100" s="2" t="s">
        <v>1042</v>
      </c>
      <c r="C100" s="2" t="s">
        <v>235</v>
      </c>
      <c r="D100" s="2">
        <v>202</v>
      </c>
      <c r="E100" s="2">
        <v>206</v>
      </c>
      <c r="F100" s="2">
        <v>200</v>
      </c>
      <c r="G100" s="2">
        <v>191</v>
      </c>
      <c r="H100" s="2">
        <v>181</v>
      </c>
      <c r="I100" s="2">
        <v>165</v>
      </c>
      <c r="J100" s="3">
        <f t="shared" si="12"/>
        <v>1145</v>
      </c>
      <c r="L100" s="2" t="s">
        <v>5</v>
      </c>
      <c r="M100" s="3">
        <f>SUM(F98:F105)</f>
        <v>1024</v>
      </c>
      <c r="O100" s="4"/>
      <c r="P100" s="3"/>
    </row>
    <row r="101" spans="1:16">
      <c r="A101" s="2" t="s">
        <v>205</v>
      </c>
      <c r="B101" s="2" t="s">
        <v>1043</v>
      </c>
      <c r="C101" s="2" t="s">
        <v>1044</v>
      </c>
      <c r="D101" s="2">
        <v>212</v>
      </c>
      <c r="E101" s="2">
        <v>187</v>
      </c>
      <c r="F101" s="2">
        <v>192</v>
      </c>
      <c r="G101" s="2">
        <v>185</v>
      </c>
      <c r="H101" s="2">
        <v>157</v>
      </c>
      <c r="I101" s="2"/>
      <c r="J101" s="3">
        <f t="shared" si="12"/>
        <v>933</v>
      </c>
      <c r="L101" s="2" t="s">
        <v>6</v>
      </c>
      <c r="M101" s="3">
        <f>SUM(G98:G105)</f>
        <v>1006</v>
      </c>
      <c r="O101" s="4"/>
      <c r="P101" s="3"/>
    </row>
    <row r="102" spans="1:16">
      <c r="A102" s="2" t="s">
        <v>205</v>
      </c>
      <c r="B102" s="2" t="s">
        <v>1045</v>
      </c>
      <c r="C102" s="2" t="s">
        <v>1046</v>
      </c>
      <c r="D102" s="2">
        <v>193</v>
      </c>
      <c r="E102" s="2">
        <v>179</v>
      </c>
      <c r="F102" s="2">
        <v>184</v>
      </c>
      <c r="G102" s="2">
        <v>268</v>
      </c>
      <c r="H102" s="2">
        <v>210</v>
      </c>
      <c r="I102" s="2">
        <v>246</v>
      </c>
      <c r="J102" s="3">
        <f t="shared" si="12"/>
        <v>1280</v>
      </c>
      <c r="L102" s="2" t="s">
        <v>7</v>
      </c>
      <c r="M102" s="3">
        <f>SUM(H98:H105)</f>
        <v>848</v>
      </c>
      <c r="O102" s="4"/>
      <c r="P102" s="3"/>
    </row>
    <row r="103" spans="1:16">
      <c r="A103" s="2" t="s">
        <v>205</v>
      </c>
      <c r="B103" s="2" t="s">
        <v>1047</v>
      </c>
      <c r="C103" s="2" t="s">
        <v>330</v>
      </c>
      <c r="D103" s="2"/>
      <c r="E103" s="2"/>
      <c r="F103" s="2"/>
      <c r="G103" s="2"/>
      <c r="H103" s="2">
        <v>135</v>
      </c>
      <c r="I103" s="2"/>
      <c r="J103" s="3">
        <f t="shared" si="12"/>
        <v>135</v>
      </c>
      <c r="L103" s="2" t="s">
        <v>8</v>
      </c>
      <c r="M103" s="3">
        <f>SUM(I98:I105)</f>
        <v>971</v>
      </c>
      <c r="O103" s="4"/>
      <c r="P103" s="3"/>
    </row>
    <row r="104" spans="1:16">
      <c r="A104" s="2" t="s">
        <v>205</v>
      </c>
      <c r="B104" s="2" t="s">
        <v>1048</v>
      </c>
      <c r="C104" s="2" t="s">
        <v>1049</v>
      </c>
      <c r="D104" s="2">
        <v>172</v>
      </c>
      <c r="E104" s="2">
        <v>155</v>
      </c>
      <c r="F104" s="2">
        <v>182</v>
      </c>
      <c r="G104" s="2">
        <v>182</v>
      </c>
      <c r="H104" s="2"/>
      <c r="I104" s="2">
        <v>199</v>
      </c>
      <c r="J104" s="3">
        <f t="shared" si="12"/>
        <v>890</v>
      </c>
      <c r="L104" s="3"/>
      <c r="M104" s="3"/>
      <c r="O104" s="4"/>
      <c r="P104" s="3"/>
    </row>
    <row r="105" spans="1:16">
      <c r="A105" s="2" t="s">
        <v>205</v>
      </c>
      <c r="B105" s="2" t="s">
        <v>1050</v>
      </c>
      <c r="C105" s="2" t="s">
        <v>1051</v>
      </c>
      <c r="D105" s="2"/>
      <c r="E105" s="2"/>
      <c r="F105" s="2"/>
      <c r="G105" s="2"/>
      <c r="H105" s="2"/>
      <c r="I105" s="2">
        <v>170</v>
      </c>
      <c r="J105" s="3">
        <f t="shared" si="12"/>
        <v>170</v>
      </c>
      <c r="L105" s="2"/>
      <c r="M105" s="3"/>
      <c r="O105" s="4"/>
      <c r="P105" s="3"/>
    </row>
    <row r="106" spans="1:16">
      <c r="A106" s="6" t="s">
        <v>547</v>
      </c>
      <c r="B106" s="6" t="s">
        <v>893</v>
      </c>
      <c r="C106" s="6" t="s">
        <v>1052</v>
      </c>
      <c r="D106" s="6">
        <v>199</v>
      </c>
      <c r="E106" s="6">
        <v>157</v>
      </c>
      <c r="F106" s="6">
        <v>185</v>
      </c>
      <c r="G106" s="6">
        <v>180</v>
      </c>
      <c r="H106" s="6">
        <v>201</v>
      </c>
      <c r="I106" s="6">
        <v>189</v>
      </c>
      <c r="J106" s="6">
        <f>SUM(D106:I106)</f>
        <v>1111</v>
      </c>
      <c r="L106" s="6" t="s">
        <v>3</v>
      </c>
      <c r="M106" s="7">
        <f>SUM(D106:D113)</f>
        <v>818</v>
      </c>
      <c r="O106" s="8" t="str">
        <f>A106</f>
        <v>William Penn</v>
      </c>
      <c r="P106" s="7">
        <f>SUM(M106:M111)</f>
        <v>5422</v>
      </c>
    </row>
    <row r="107" spans="1:16">
      <c r="A107" s="6" t="s">
        <v>547</v>
      </c>
      <c r="B107" s="6" t="s">
        <v>1053</v>
      </c>
      <c r="C107" s="6" t="s">
        <v>1054</v>
      </c>
      <c r="D107" s="6"/>
      <c r="E107" s="6"/>
      <c r="F107" s="6"/>
      <c r="G107" s="6"/>
      <c r="H107" s="6"/>
      <c r="I107" s="6"/>
      <c r="J107" s="6">
        <f t="shared" ref="J107:J113" si="13">SUM(D107:I107)</f>
        <v>0</v>
      </c>
      <c r="L107" s="6" t="s">
        <v>4</v>
      </c>
      <c r="M107" s="7">
        <f>SUM(E106:E113)</f>
        <v>867</v>
      </c>
      <c r="O107" s="8"/>
      <c r="P107" s="7"/>
    </row>
    <row r="108" spans="1:16">
      <c r="A108" s="6" t="s">
        <v>547</v>
      </c>
      <c r="B108" s="6" t="s">
        <v>128</v>
      </c>
      <c r="C108" s="6" t="s">
        <v>1055</v>
      </c>
      <c r="D108" s="6">
        <v>190</v>
      </c>
      <c r="E108" s="6">
        <v>190</v>
      </c>
      <c r="F108" s="6">
        <v>193</v>
      </c>
      <c r="G108" s="6">
        <v>172</v>
      </c>
      <c r="H108" s="6">
        <v>176</v>
      </c>
      <c r="I108" s="6">
        <v>237</v>
      </c>
      <c r="J108" s="6">
        <f t="shared" si="13"/>
        <v>1158</v>
      </c>
      <c r="L108" s="6" t="s">
        <v>5</v>
      </c>
      <c r="M108" s="7">
        <f>SUM(F106:F113)</f>
        <v>986</v>
      </c>
      <c r="O108" s="8"/>
      <c r="P108" s="7"/>
    </row>
    <row r="109" spans="1:16">
      <c r="A109" s="6" t="s">
        <v>547</v>
      </c>
      <c r="B109" s="6" t="s">
        <v>1056</v>
      </c>
      <c r="C109" s="6" t="s">
        <v>1057</v>
      </c>
      <c r="D109" s="6">
        <v>136</v>
      </c>
      <c r="E109" s="6">
        <v>156</v>
      </c>
      <c r="F109" s="6">
        <v>187</v>
      </c>
      <c r="G109" s="6">
        <v>191</v>
      </c>
      <c r="H109" s="6">
        <v>161</v>
      </c>
      <c r="I109" s="6">
        <v>180</v>
      </c>
      <c r="J109" s="6">
        <f t="shared" si="13"/>
        <v>1011</v>
      </c>
      <c r="L109" s="6" t="s">
        <v>6</v>
      </c>
      <c r="M109" s="7">
        <f>SUM(G106:G113)</f>
        <v>869</v>
      </c>
      <c r="O109" s="8"/>
      <c r="P109" s="7"/>
    </row>
    <row r="110" spans="1:16">
      <c r="A110" s="6" t="s">
        <v>547</v>
      </c>
      <c r="B110" s="6" t="s">
        <v>1058</v>
      </c>
      <c r="C110" s="6" t="s">
        <v>1059</v>
      </c>
      <c r="D110" s="6">
        <v>140</v>
      </c>
      <c r="E110" s="6">
        <v>201</v>
      </c>
      <c r="F110" s="6">
        <v>226</v>
      </c>
      <c r="G110" s="6">
        <v>160</v>
      </c>
      <c r="H110" s="6">
        <v>150</v>
      </c>
      <c r="I110" s="6"/>
      <c r="J110" s="6">
        <f t="shared" si="13"/>
        <v>877</v>
      </c>
      <c r="L110" s="6" t="s">
        <v>7</v>
      </c>
      <c r="M110" s="7">
        <f>SUM(H106:H113)</f>
        <v>900</v>
      </c>
      <c r="O110" s="8"/>
      <c r="P110" s="7"/>
    </row>
    <row r="111" spans="1:16">
      <c r="A111" s="6" t="s">
        <v>547</v>
      </c>
      <c r="B111" s="6" t="s">
        <v>193</v>
      </c>
      <c r="C111" s="6" t="s">
        <v>1060</v>
      </c>
      <c r="D111" s="6"/>
      <c r="E111" s="6"/>
      <c r="F111" s="6"/>
      <c r="G111" s="6"/>
      <c r="H111" s="6"/>
      <c r="I111" s="6">
        <v>175</v>
      </c>
      <c r="J111" s="6">
        <f t="shared" si="13"/>
        <v>175</v>
      </c>
      <c r="L111" s="6" t="s">
        <v>8</v>
      </c>
      <c r="M111" s="7">
        <f>SUM(I106:I113)</f>
        <v>982</v>
      </c>
      <c r="O111" s="8"/>
      <c r="P111" s="7"/>
    </row>
    <row r="112" spans="1:16">
      <c r="A112" s="6" t="s">
        <v>547</v>
      </c>
      <c r="B112" s="6" t="s">
        <v>1061</v>
      </c>
      <c r="C112" s="6" t="s">
        <v>1062</v>
      </c>
      <c r="D112" s="6">
        <v>153</v>
      </c>
      <c r="E112" s="6">
        <v>163</v>
      </c>
      <c r="F112" s="6">
        <v>195</v>
      </c>
      <c r="G112" s="6">
        <v>166</v>
      </c>
      <c r="H112" s="6">
        <v>212</v>
      </c>
      <c r="I112" s="6">
        <v>201</v>
      </c>
      <c r="J112" s="6">
        <f t="shared" si="13"/>
        <v>1090</v>
      </c>
      <c r="L112" s="6"/>
      <c r="M112" s="7"/>
      <c r="O112" s="8"/>
      <c r="P112" s="7"/>
    </row>
    <row r="113" spans="1:16">
      <c r="A113" s="6" t="s">
        <v>547</v>
      </c>
      <c r="B113" s="6" t="s">
        <v>195</v>
      </c>
      <c r="C113" s="6" t="s">
        <v>583</v>
      </c>
      <c r="D113" s="6"/>
      <c r="E113" s="6"/>
      <c r="F113" s="6"/>
      <c r="G113" s="6"/>
      <c r="H113" s="6"/>
      <c r="I113" s="6"/>
      <c r="J113" s="6">
        <f t="shared" si="13"/>
        <v>0</v>
      </c>
      <c r="L113" s="6"/>
      <c r="M113" s="7"/>
      <c r="O113" s="8"/>
      <c r="P113" s="7"/>
    </row>
    <row r="114" spans="1:16">
      <c r="A114" s="2" t="s">
        <v>827</v>
      </c>
      <c r="B114" s="2" t="s">
        <v>1063</v>
      </c>
      <c r="C114" s="2" t="s">
        <v>1064</v>
      </c>
      <c r="D114" s="2">
        <v>234</v>
      </c>
      <c r="E114" s="2">
        <v>266</v>
      </c>
      <c r="F114" s="2">
        <v>222</v>
      </c>
      <c r="G114" s="2">
        <v>202</v>
      </c>
      <c r="H114" s="2">
        <v>167</v>
      </c>
      <c r="I114" s="2">
        <v>213</v>
      </c>
      <c r="J114" s="3">
        <f>SUM(D114:I114)</f>
        <v>1304</v>
      </c>
      <c r="L114" s="2" t="s">
        <v>3</v>
      </c>
      <c r="M114" s="3">
        <f>SUM(D114:D121)</f>
        <v>944</v>
      </c>
      <c r="O114" s="4" t="str">
        <f>A114</f>
        <v>Webber International</v>
      </c>
      <c r="P114" s="3">
        <f>SUM(M114:M119)</f>
        <v>5918</v>
      </c>
    </row>
    <row r="115" spans="1:16">
      <c r="A115" s="2" t="s">
        <v>827</v>
      </c>
      <c r="B115" s="2" t="s">
        <v>1065</v>
      </c>
      <c r="C115" s="2" t="s">
        <v>1066</v>
      </c>
      <c r="D115" s="2"/>
      <c r="E115" s="2">
        <v>102</v>
      </c>
      <c r="F115" s="2"/>
      <c r="G115" s="2">
        <v>259</v>
      </c>
      <c r="H115" s="2">
        <v>202</v>
      </c>
      <c r="I115" s="2">
        <v>232</v>
      </c>
      <c r="J115" s="3">
        <f t="shared" ref="J115:J121" si="14">SUM(D115:I115)</f>
        <v>795</v>
      </c>
      <c r="L115" s="2" t="s">
        <v>4</v>
      </c>
      <c r="M115" s="3">
        <f>SUM(E114:E121)</f>
        <v>964</v>
      </c>
      <c r="O115" s="4"/>
      <c r="P115" s="3"/>
    </row>
    <row r="116" spans="1:16">
      <c r="A116" s="2" t="s">
        <v>827</v>
      </c>
      <c r="B116" s="2" t="s">
        <v>1067</v>
      </c>
      <c r="C116" s="2" t="s">
        <v>238</v>
      </c>
      <c r="D116" s="2">
        <v>192</v>
      </c>
      <c r="E116" s="2">
        <v>195</v>
      </c>
      <c r="F116" s="2">
        <v>169</v>
      </c>
      <c r="G116" s="2"/>
      <c r="H116" s="2"/>
      <c r="I116" s="2">
        <v>247</v>
      </c>
      <c r="J116" s="3">
        <f t="shared" si="14"/>
        <v>803</v>
      </c>
      <c r="L116" s="2" t="s">
        <v>5</v>
      </c>
      <c r="M116" s="3">
        <f>SUM(F114:F121)</f>
        <v>1004</v>
      </c>
      <c r="O116" s="4"/>
      <c r="P116" s="3"/>
    </row>
    <row r="117" spans="1:16">
      <c r="A117" s="2" t="s">
        <v>827</v>
      </c>
      <c r="B117" s="2" t="s">
        <v>1068</v>
      </c>
      <c r="C117" s="2" t="s">
        <v>1069</v>
      </c>
      <c r="D117" s="2">
        <v>199</v>
      </c>
      <c r="E117" s="2">
        <v>181</v>
      </c>
      <c r="F117" s="2">
        <v>211</v>
      </c>
      <c r="G117" s="2"/>
      <c r="H117" s="2">
        <v>160</v>
      </c>
      <c r="I117" s="2">
        <v>185</v>
      </c>
      <c r="J117" s="3">
        <f t="shared" si="14"/>
        <v>936</v>
      </c>
      <c r="L117" s="2" t="s">
        <v>6</v>
      </c>
      <c r="M117" s="3">
        <f>SUM(G114:G121)</f>
        <v>1035</v>
      </c>
      <c r="O117" s="4"/>
      <c r="P117" s="3"/>
    </row>
    <row r="118" spans="1:16">
      <c r="A118" s="2" t="s">
        <v>827</v>
      </c>
      <c r="B118" s="2" t="s">
        <v>1070</v>
      </c>
      <c r="C118" s="2" t="s">
        <v>1071</v>
      </c>
      <c r="D118" s="2"/>
      <c r="E118" s="2"/>
      <c r="F118" s="2">
        <v>204</v>
      </c>
      <c r="G118" s="2">
        <v>168</v>
      </c>
      <c r="H118" s="2"/>
      <c r="I118" s="2"/>
      <c r="J118" s="3">
        <f t="shared" si="14"/>
        <v>372</v>
      </c>
      <c r="L118" s="2" t="s">
        <v>7</v>
      </c>
      <c r="M118" s="3">
        <f>SUM(H114:H121)</f>
        <v>880</v>
      </c>
      <c r="O118" s="4"/>
      <c r="P118" s="3"/>
    </row>
    <row r="119" spans="1:16">
      <c r="A119" s="2" t="s">
        <v>827</v>
      </c>
      <c r="B119" s="2" t="s">
        <v>195</v>
      </c>
      <c r="C119" s="2" t="s">
        <v>267</v>
      </c>
      <c r="D119" s="2">
        <v>128</v>
      </c>
      <c r="E119" s="2"/>
      <c r="F119" s="2"/>
      <c r="G119" s="2">
        <v>171</v>
      </c>
      <c r="H119" s="2">
        <v>164</v>
      </c>
      <c r="I119" s="2"/>
      <c r="J119" s="3">
        <f t="shared" si="14"/>
        <v>463</v>
      </c>
      <c r="L119" s="2" t="s">
        <v>8</v>
      </c>
      <c r="M119" s="3">
        <f>SUM(I114:I121)</f>
        <v>1091</v>
      </c>
      <c r="O119" s="4"/>
      <c r="P119" s="3"/>
    </row>
    <row r="120" spans="1:16">
      <c r="A120" s="2" t="s">
        <v>827</v>
      </c>
      <c r="B120" s="2" t="s">
        <v>1072</v>
      </c>
      <c r="C120" s="2" t="s">
        <v>1073</v>
      </c>
      <c r="D120" s="2"/>
      <c r="E120" s="2"/>
      <c r="F120" s="2"/>
      <c r="G120" s="2"/>
      <c r="H120" s="2"/>
      <c r="I120" s="2"/>
      <c r="J120" s="3">
        <f t="shared" si="14"/>
        <v>0</v>
      </c>
      <c r="L120" s="3"/>
      <c r="M120" s="3"/>
      <c r="O120" s="4"/>
      <c r="P120" s="3"/>
    </row>
    <row r="121" spans="1:16">
      <c r="A121" s="4" t="s">
        <v>827</v>
      </c>
      <c r="B121" s="2" t="s">
        <v>97</v>
      </c>
      <c r="C121" s="2" t="s">
        <v>1074</v>
      </c>
      <c r="D121" s="2">
        <v>191</v>
      </c>
      <c r="E121" s="2">
        <v>220</v>
      </c>
      <c r="F121" s="2">
        <v>198</v>
      </c>
      <c r="G121" s="2">
        <v>235</v>
      </c>
      <c r="H121" s="2">
        <v>187</v>
      </c>
      <c r="I121" s="2">
        <v>214</v>
      </c>
      <c r="J121" s="3">
        <f t="shared" si="14"/>
        <v>1245</v>
      </c>
      <c r="L121" s="2"/>
      <c r="M121" s="3"/>
      <c r="O121" s="4"/>
      <c r="P121" s="3"/>
    </row>
    <row r="122" spans="1:16">
      <c r="A122" s="6" t="s">
        <v>479</v>
      </c>
      <c r="B122" s="6" t="s">
        <v>893</v>
      </c>
      <c r="C122" s="6" t="s">
        <v>1075</v>
      </c>
      <c r="D122" s="6">
        <v>168</v>
      </c>
      <c r="E122" s="6">
        <v>144</v>
      </c>
      <c r="F122" s="6"/>
      <c r="G122" s="6"/>
      <c r="H122" s="6"/>
      <c r="I122" s="6"/>
      <c r="J122" s="6">
        <f>SUM(D122:I122)</f>
        <v>312</v>
      </c>
      <c r="L122" s="6" t="s">
        <v>3</v>
      </c>
      <c r="M122" s="7">
        <f>SUM(D122:D129)</f>
        <v>933</v>
      </c>
      <c r="O122" s="8" t="str">
        <f>A122</f>
        <v>Emmanuel</v>
      </c>
      <c r="P122" s="7">
        <f>SUM(M122:M127)</f>
        <v>5585</v>
      </c>
    </row>
    <row r="123" spans="1:16">
      <c r="A123" s="6" t="s">
        <v>479</v>
      </c>
      <c r="B123" s="6" t="s">
        <v>1076</v>
      </c>
      <c r="C123" s="6" t="s">
        <v>1077</v>
      </c>
      <c r="D123" s="6"/>
      <c r="E123" s="6"/>
      <c r="F123" s="6">
        <v>215</v>
      </c>
      <c r="G123" s="6">
        <v>212</v>
      </c>
      <c r="H123" s="6">
        <v>207</v>
      </c>
      <c r="I123" s="6">
        <v>222</v>
      </c>
      <c r="J123" s="6">
        <f t="shared" ref="J123:J129" si="15">SUM(D123:I123)</f>
        <v>856</v>
      </c>
      <c r="L123" s="6" t="s">
        <v>4</v>
      </c>
      <c r="M123" s="7">
        <f>SUM(E122:E129)</f>
        <v>926</v>
      </c>
      <c r="O123" s="8"/>
      <c r="P123" s="7"/>
    </row>
    <row r="124" spans="1:16">
      <c r="A124" s="6" t="s">
        <v>479</v>
      </c>
      <c r="B124" s="6" t="s">
        <v>1078</v>
      </c>
      <c r="C124" s="6" t="s">
        <v>1079</v>
      </c>
      <c r="D124" s="6"/>
      <c r="E124" s="6"/>
      <c r="F124" s="6"/>
      <c r="G124" s="6"/>
      <c r="H124" s="6">
        <v>159</v>
      </c>
      <c r="I124" s="6"/>
      <c r="J124" s="6">
        <f t="shared" si="15"/>
        <v>159</v>
      </c>
      <c r="L124" s="6" t="s">
        <v>5</v>
      </c>
      <c r="M124" s="7">
        <f>SUM(F122:F129)</f>
        <v>865</v>
      </c>
      <c r="O124" s="8"/>
      <c r="P124" s="7"/>
    </row>
    <row r="125" spans="1:16">
      <c r="A125" s="6" t="s">
        <v>479</v>
      </c>
      <c r="B125" s="6" t="s">
        <v>1080</v>
      </c>
      <c r="C125" s="6" t="s">
        <v>1081</v>
      </c>
      <c r="D125" s="6">
        <v>163</v>
      </c>
      <c r="E125" s="6">
        <v>180</v>
      </c>
      <c r="F125" s="6">
        <v>154</v>
      </c>
      <c r="G125" s="6">
        <v>176</v>
      </c>
      <c r="H125" s="6">
        <v>181</v>
      </c>
      <c r="I125" s="6">
        <v>183</v>
      </c>
      <c r="J125" s="6">
        <f t="shared" si="15"/>
        <v>1037</v>
      </c>
      <c r="L125" s="6" t="s">
        <v>6</v>
      </c>
      <c r="M125" s="7">
        <f>SUM(G122:G129)</f>
        <v>931</v>
      </c>
      <c r="O125" s="8"/>
      <c r="P125" s="7"/>
    </row>
    <row r="126" spans="1:16">
      <c r="A126" s="6" t="s">
        <v>479</v>
      </c>
      <c r="B126" s="6" t="s">
        <v>1082</v>
      </c>
      <c r="C126" s="6" t="s">
        <v>1083</v>
      </c>
      <c r="D126" s="6">
        <v>220</v>
      </c>
      <c r="E126" s="6">
        <v>166</v>
      </c>
      <c r="F126" s="6">
        <v>201</v>
      </c>
      <c r="G126" s="6">
        <v>176</v>
      </c>
      <c r="H126" s="6">
        <v>178</v>
      </c>
      <c r="I126" s="6">
        <v>191</v>
      </c>
      <c r="J126" s="6">
        <f t="shared" si="15"/>
        <v>1132</v>
      </c>
      <c r="L126" s="6" t="s">
        <v>7</v>
      </c>
      <c r="M126" s="7">
        <f>SUM(H122:H129)</f>
        <v>993</v>
      </c>
      <c r="O126" s="8"/>
      <c r="P126" s="7"/>
    </row>
    <row r="127" spans="1:16">
      <c r="A127" s="6" t="s">
        <v>479</v>
      </c>
      <c r="B127" s="6" t="s">
        <v>1084</v>
      </c>
      <c r="C127" s="6" t="s">
        <v>1085</v>
      </c>
      <c r="D127" s="6">
        <v>182</v>
      </c>
      <c r="E127" s="6">
        <v>190</v>
      </c>
      <c r="F127" s="6">
        <v>119</v>
      </c>
      <c r="G127" s="6"/>
      <c r="H127" s="6"/>
      <c r="I127" s="6">
        <v>171</v>
      </c>
      <c r="J127" s="6">
        <f t="shared" si="15"/>
        <v>662</v>
      </c>
      <c r="L127" s="6" t="s">
        <v>8</v>
      </c>
      <c r="M127" s="7">
        <f>SUM(I122:I129)</f>
        <v>937</v>
      </c>
      <c r="O127" s="8"/>
      <c r="P127" s="7"/>
    </row>
    <row r="128" spans="1:16">
      <c r="A128" s="6" t="s">
        <v>479</v>
      </c>
      <c r="B128" s="6" t="s">
        <v>1086</v>
      </c>
      <c r="C128" s="6" t="s">
        <v>1087</v>
      </c>
      <c r="D128" s="6">
        <v>200</v>
      </c>
      <c r="E128" s="6">
        <v>246</v>
      </c>
      <c r="F128" s="6">
        <v>176</v>
      </c>
      <c r="G128" s="6">
        <v>205</v>
      </c>
      <c r="H128" s="6">
        <v>268</v>
      </c>
      <c r="I128" s="6">
        <v>170</v>
      </c>
      <c r="J128" s="6">
        <f t="shared" si="15"/>
        <v>1265</v>
      </c>
      <c r="L128" s="6"/>
      <c r="M128" s="7"/>
      <c r="O128" s="8"/>
      <c r="P128" s="7"/>
    </row>
    <row r="129" spans="1:16">
      <c r="A129" s="6" t="s">
        <v>479</v>
      </c>
      <c r="B129" s="6" t="s">
        <v>400</v>
      </c>
      <c r="C129" s="6" t="s">
        <v>1088</v>
      </c>
      <c r="D129" s="6"/>
      <c r="E129" s="6"/>
      <c r="F129" s="6"/>
      <c r="G129" s="6">
        <v>162</v>
      </c>
      <c r="H129" s="6"/>
      <c r="I129" s="6"/>
      <c r="J129" s="6">
        <f t="shared" si="15"/>
        <v>162</v>
      </c>
      <c r="L129" s="6"/>
      <c r="M129" s="7"/>
      <c r="O129" s="8"/>
      <c r="P129" s="7"/>
    </row>
    <row r="130" spans="1:16">
      <c r="A130" s="2" t="s">
        <v>536</v>
      </c>
      <c r="B130" s="2" t="s">
        <v>1084</v>
      </c>
      <c r="C130" s="2" t="s">
        <v>1089</v>
      </c>
      <c r="D130" s="2"/>
      <c r="E130" s="2"/>
      <c r="F130" s="2"/>
      <c r="G130" s="2"/>
      <c r="H130" s="2">
        <v>127</v>
      </c>
      <c r="I130" s="2">
        <v>116</v>
      </c>
      <c r="J130" s="3">
        <f>SUM(D130:I130)</f>
        <v>243</v>
      </c>
      <c r="L130" s="2" t="s">
        <v>3</v>
      </c>
      <c r="M130" s="3">
        <f>SUM(D130:D137)</f>
        <v>822</v>
      </c>
      <c r="O130" s="4" t="str">
        <f>A130</f>
        <v>Wisconsin - Milwaukee</v>
      </c>
      <c r="P130" s="3">
        <f>SUM(M130:M135)</f>
        <v>4831</v>
      </c>
    </row>
    <row r="131" spans="1:16">
      <c r="A131" s="2" t="s">
        <v>536</v>
      </c>
      <c r="B131" s="2" t="s">
        <v>924</v>
      </c>
      <c r="C131" s="2" t="s">
        <v>1090</v>
      </c>
      <c r="D131" s="2">
        <v>165</v>
      </c>
      <c r="E131" s="2">
        <v>210</v>
      </c>
      <c r="F131" s="2">
        <v>175</v>
      </c>
      <c r="G131" s="2">
        <v>155</v>
      </c>
      <c r="H131" s="2">
        <v>145</v>
      </c>
      <c r="I131" s="2">
        <v>147</v>
      </c>
      <c r="J131" s="3">
        <f t="shared" ref="J131:J137" si="16">SUM(D131:I131)</f>
        <v>997</v>
      </c>
      <c r="L131" s="2" t="s">
        <v>4</v>
      </c>
      <c r="M131" s="3">
        <f>SUM(E130:E137)</f>
        <v>808</v>
      </c>
      <c r="O131" s="4"/>
      <c r="P131" s="3"/>
    </row>
    <row r="132" spans="1:16">
      <c r="A132" s="2" t="s">
        <v>536</v>
      </c>
      <c r="B132" s="2" t="s">
        <v>1091</v>
      </c>
      <c r="C132" s="2" t="s">
        <v>1092</v>
      </c>
      <c r="D132" s="2">
        <v>182</v>
      </c>
      <c r="E132" s="2">
        <v>125</v>
      </c>
      <c r="F132" s="2">
        <v>154</v>
      </c>
      <c r="G132" s="2">
        <v>154</v>
      </c>
      <c r="H132" s="2">
        <v>152</v>
      </c>
      <c r="I132" s="2">
        <v>213</v>
      </c>
      <c r="J132" s="3">
        <f t="shared" si="16"/>
        <v>980</v>
      </c>
      <c r="L132" s="2" t="s">
        <v>5</v>
      </c>
      <c r="M132" s="3">
        <f>SUM(F130:F137)</f>
        <v>756</v>
      </c>
      <c r="O132" s="4"/>
      <c r="P132" s="3"/>
    </row>
    <row r="133" spans="1:16">
      <c r="A133" s="2" t="s">
        <v>536</v>
      </c>
      <c r="B133" s="2" t="s">
        <v>1093</v>
      </c>
      <c r="C133" s="2" t="s">
        <v>1094</v>
      </c>
      <c r="D133" s="2">
        <v>153</v>
      </c>
      <c r="E133" s="2">
        <v>157</v>
      </c>
      <c r="F133" s="2">
        <v>149</v>
      </c>
      <c r="G133" s="2">
        <v>196</v>
      </c>
      <c r="H133" s="2">
        <v>182</v>
      </c>
      <c r="I133" s="2">
        <v>202</v>
      </c>
      <c r="J133" s="3">
        <f t="shared" si="16"/>
        <v>1039</v>
      </c>
      <c r="L133" s="2" t="s">
        <v>6</v>
      </c>
      <c r="M133" s="3">
        <f>SUM(G130:G137)</f>
        <v>795</v>
      </c>
      <c r="O133" s="4"/>
      <c r="P133" s="3"/>
    </row>
    <row r="134" spans="1:16">
      <c r="A134" s="2" t="s">
        <v>536</v>
      </c>
      <c r="B134" s="2" t="s">
        <v>907</v>
      </c>
      <c r="C134" s="2" t="s">
        <v>1095</v>
      </c>
      <c r="D134" s="2">
        <v>158</v>
      </c>
      <c r="E134" s="2">
        <v>138</v>
      </c>
      <c r="F134" s="2">
        <v>135</v>
      </c>
      <c r="G134" s="2">
        <v>171</v>
      </c>
      <c r="H134" s="2">
        <v>172</v>
      </c>
      <c r="I134" s="2">
        <v>194</v>
      </c>
      <c r="J134" s="3">
        <f t="shared" si="16"/>
        <v>968</v>
      </c>
      <c r="L134" s="2" t="s">
        <v>7</v>
      </c>
      <c r="M134" s="3">
        <f>SUM(H130:H137)</f>
        <v>778</v>
      </c>
      <c r="O134" s="4"/>
      <c r="P134" s="3"/>
    </row>
    <row r="135" spans="1:16">
      <c r="A135" s="2" t="s">
        <v>536</v>
      </c>
      <c r="B135" s="2" t="s">
        <v>1096</v>
      </c>
      <c r="C135" s="2" t="s">
        <v>1097</v>
      </c>
      <c r="D135" s="2">
        <v>164</v>
      </c>
      <c r="E135" s="2">
        <v>178</v>
      </c>
      <c r="F135" s="2">
        <v>143</v>
      </c>
      <c r="G135" s="2">
        <v>119</v>
      </c>
      <c r="H135" s="2"/>
      <c r="I135" s="2"/>
      <c r="J135" s="3">
        <f t="shared" si="16"/>
        <v>604</v>
      </c>
      <c r="L135" s="2" t="s">
        <v>8</v>
      </c>
      <c r="M135" s="3">
        <f>SUM(I130:I137)</f>
        <v>872</v>
      </c>
      <c r="O135" s="4"/>
      <c r="P135" s="3"/>
    </row>
    <row r="136" spans="1:16">
      <c r="A136" s="2" t="s">
        <v>536</v>
      </c>
      <c r="B136" s="2"/>
      <c r="C136" s="2"/>
      <c r="D136" s="2"/>
      <c r="E136" s="2"/>
      <c r="F136" s="2"/>
      <c r="G136" s="2"/>
      <c r="H136" s="2"/>
      <c r="I136" s="2"/>
      <c r="J136" s="3">
        <f t="shared" si="16"/>
        <v>0</v>
      </c>
      <c r="L136" s="3"/>
      <c r="M136" s="3"/>
      <c r="O136" s="4"/>
      <c r="P136" s="3"/>
    </row>
    <row r="137" spans="1:16">
      <c r="A137" s="2" t="s">
        <v>536</v>
      </c>
      <c r="B137" s="2"/>
      <c r="C137" s="2"/>
      <c r="D137" s="2"/>
      <c r="E137" s="2"/>
      <c r="F137" s="2"/>
      <c r="G137" s="2"/>
      <c r="H137" s="2"/>
      <c r="I137" s="2"/>
      <c r="J137" s="3">
        <f t="shared" si="16"/>
        <v>0</v>
      </c>
      <c r="L137" s="2"/>
      <c r="M137" s="3"/>
      <c r="O137" s="4"/>
      <c r="P137" s="3"/>
    </row>
    <row r="138" spans="1:16">
      <c r="A138" s="6" t="s">
        <v>1098</v>
      </c>
      <c r="B138" s="6" t="s">
        <v>272</v>
      </c>
      <c r="C138" s="6" t="s">
        <v>1099</v>
      </c>
      <c r="D138" s="6">
        <v>156</v>
      </c>
      <c r="E138" s="6">
        <v>125</v>
      </c>
      <c r="F138" s="6">
        <v>159</v>
      </c>
      <c r="G138" s="6">
        <v>182</v>
      </c>
      <c r="H138" s="6">
        <v>172</v>
      </c>
      <c r="I138" s="6">
        <v>198</v>
      </c>
      <c r="J138" s="6">
        <f>SUM(D138:I138)</f>
        <v>992</v>
      </c>
      <c r="L138" s="6" t="s">
        <v>3</v>
      </c>
      <c r="M138" s="7">
        <f>SUM(D138:D145)</f>
        <v>650</v>
      </c>
      <c r="O138" s="8" t="str">
        <f>A138</f>
        <v>Indiana - Bloomington</v>
      </c>
      <c r="P138" s="7">
        <f>SUM(M138:M143)</f>
        <v>4134</v>
      </c>
    </row>
    <row r="139" spans="1:16">
      <c r="A139" s="6" t="s">
        <v>1098</v>
      </c>
      <c r="B139" s="6" t="s">
        <v>993</v>
      </c>
      <c r="C139" s="6" t="s">
        <v>1100</v>
      </c>
      <c r="D139" s="6">
        <v>122</v>
      </c>
      <c r="E139" s="6">
        <v>136</v>
      </c>
      <c r="F139" s="6">
        <v>128</v>
      </c>
      <c r="G139" s="6">
        <v>97</v>
      </c>
      <c r="H139" s="6">
        <v>97</v>
      </c>
      <c r="I139" s="6">
        <v>136</v>
      </c>
      <c r="J139" s="6">
        <f t="shared" ref="J139:J145" si="17">SUM(D139:I139)</f>
        <v>716</v>
      </c>
      <c r="L139" s="6" t="s">
        <v>4</v>
      </c>
      <c r="M139" s="7">
        <f>SUM(E138:E145)</f>
        <v>688</v>
      </c>
      <c r="O139" s="8"/>
      <c r="P139" s="7"/>
    </row>
    <row r="140" spans="1:16">
      <c r="A140" s="6" t="s">
        <v>1098</v>
      </c>
      <c r="B140" s="6" t="s">
        <v>1047</v>
      </c>
      <c r="C140" s="6" t="s">
        <v>1101</v>
      </c>
      <c r="D140" s="6">
        <v>120</v>
      </c>
      <c r="E140" s="6">
        <v>160</v>
      </c>
      <c r="F140" s="6">
        <v>88</v>
      </c>
      <c r="G140" s="6">
        <v>148</v>
      </c>
      <c r="H140" s="6">
        <v>128</v>
      </c>
      <c r="I140" s="6">
        <v>125</v>
      </c>
      <c r="J140" s="6">
        <f t="shared" si="17"/>
        <v>769</v>
      </c>
      <c r="L140" s="6" t="s">
        <v>5</v>
      </c>
      <c r="M140" s="7">
        <f>SUM(F138:F145)</f>
        <v>717</v>
      </c>
      <c r="O140" s="8"/>
      <c r="P140" s="7"/>
    </row>
    <row r="141" spans="1:16">
      <c r="A141" s="6" t="s">
        <v>1098</v>
      </c>
      <c r="B141" s="6" t="s">
        <v>916</v>
      </c>
      <c r="C141" s="6" t="s">
        <v>1102</v>
      </c>
      <c r="D141" s="6">
        <v>124</v>
      </c>
      <c r="E141" s="6">
        <v>107</v>
      </c>
      <c r="F141" s="6">
        <v>148</v>
      </c>
      <c r="G141" s="6">
        <v>121</v>
      </c>
      <c r="H141" s="6">
        <v>90</v>
      </c>
      <c r="I141" s="6">
        <v>143</v>
      </c>
      <c r="J141" s="6">
        <f t="shared" si="17"/>
        <v>733</v>
      </c>
      <c r="L141" s="6" t="s">
        <v>6</v>
      </c>
      <c r="M141" s="7">
        <f>SUM(G138:G145)</f>
        <v>673</v>
      </c>
      <c r="O141" s="8"/>
      <c r="P141" s="7"/>
    </row>
    <row r="142" spans="1:16">
      <c r="A142" s="6" t="s">
        <v>1098</v>
      </c>
      <c r="B142" s="6" t="s">
        <v>1103</v>
      </c>
      <c r="C142" s="6" t="s">
        <v>1104</v>
      </c>
      <c r="D142" s="6">
        <v>128</v>
      </c>
      <c r="E142" s="6">
        <v>160</v>
      </c>
      <c r="F142" s="6">
        <v>194</v>
      </c>
      <c r="G142" s="6">
        <v>125</v>
      </c>
      <c r="H142" s="6">
        <v>158</v>
      </c>
      <c r="I142" s="6">
        <v>159</v>
      </c>
      <c r="J142" s="6">
        <f t="shared" si="17"/>
        <v>924</v>
      </c>
      <c r="L142" s="6" t="s">
        <v>7</v>
      </c>
      <c r="M142" s="7">
        <f>SUM(H138:H145)</f>
        <v>645</v>
      </c>
      <c r="O142" s="8"/>
      <c r="P142" s="7"/>
    </row>
    <row r="143" spans="1:16">
      <c r="A143" s="6" t="s">
        <v>1098</v>
      </c>
      <c r="B143" s="6" t="s">
        <v>1105</v>
      </c>
      <c r="C143" s="6" t="s">
        <v>771</v>
      </c>
      <c r="D143" s="6"/>
      <c r="E143" s="6"/>
      <c r="F143" s="6"/>
      <c r="G143" s="6"/>
      <c r="H143" s="6"/>
      <c r="I143" s="6"/>
      <c r="J143" s="6">
        <f t="shared" si="17"/>
        <v>0</v>
      </c>
      <c r="L143" s="6" t="s">
        <v>8</v>
      </c>
      <c r="M143" s="7">
        <f>SUM(I138:I145)</f>
        <v>761</v>
      </c>
      <c r="O143" s="8"/>
      <c r="P143" s="7"/>
    </row>
    <row r="144" spans="1:16">
      <c r="A144" s="6" t="s">
        <v>1098</v>
      </c>
      <c r="B144" s="6"/>
      <c r="C144" s="6"/>
      <c r="D144" s="6"/>
      <c r="E144" s="6"/>
      <c r="F144" s="6"/>
      <c r="G144" s="6"/>
      <c r="H144" s="6"/>
      <c r="I144" s="6"/>
      <c r="J144" s="6">
        <f t="shared" si="17"/>
        <v>0</v>
      </c>
      <c r="L144" s="6"/>
      <c r="M144" s="7"/>
      <c r="O144" s="8"/>
      <c r="P144" s="7"/>
    </row>
    <row r="145" spans="1:16">
      <c r="A145" s="6" t="s">
        <v>1098</v>
      </c>
      <c r="B145" s="6"/>
      <c r="C145" s="6"/>
      <c r="D145" s="6"/>
      <c r="E145" s="6"/>
      <c r="F145" s="6"/>
      <c r="G145" s="6"/>
      <c r="H145" s="6"/>
      <c r="I145" s="6"/>
      <c r="J145" s="6">
        <f t="shared" si="17"/>
        <v>0</v>
      </c>
      <c r="L145" s="6"/>
      <c r="M145" s="7"/>
      <c r="O145" s="8"/>
      <c r="P145" s="7"/>
    </row>
    <row r="146" spans="1:16">
      <c r="A146" s="2" t="s">
        <v>636</v>
      </c>
      <c r="B146" s="2" t="s">
        <v>1000</v>
      </c>
      <c r="C146" s="2" t="s">
        <v>1106</v>
      </c>
      <c r="D146" s="2">
        <v>158</v>
      </c>
      <c r="E146" s="2">
        <v>177</v>
      </c>
      <c r="F146" s="2">
        <v>149</v>
      </c>
      <c r="G146" s="2">
        <v>156</v>
      </c>
      <c r="H146" s="2">
        <v>198</v>
      </c>
      <c r="I146" s="2">
        <v>236</v>
      </c>
      <c r="J146" s="3">
        <f>SUM(D146:I146)</f>
        <v>1074</v>
      </c>
      <c r="L146" s="2" t="s">
        <v>3</v>
      </c>
      <c r="M146" s="3">
        <f>SUM(D146:D153)</f>
        <v>779</v>
      </c>
      <c r="O146" s="4" t="str">
        <f>A146</f>
        <v>South Florida</v>
      </c>
      <c r="P146" s="3">
        <f>SUM(M146:M151)</f>
        <v>4049</v>
      </c>
    </row>
    <row r="147" spans="1:16">
      <c r="A147" s="2" t="s">
        <v>636</v>
      </c>
      <c r="B147" s="2" t="s">
        <v>1107</v>
      </c>
      <c r="C147" s="2" t="s">
        <v>1108</v>
      </c>
      <c r="D147" s="2">
        <v>137</v>
      </c>
      <c r="E147" s="2">
        <v>176</v>
      </c>
      <c r="F147" s="2">
        <v>121</v>
      </c>
      <c r="G147" s="2">
        <v>144</v>
      </c>
      <c r="H147" s="2">
        <v>125</v>
      </c>
      <c r="I147" s="2">
        <v>150</v>
      </c>
      <c r="J147" s="3">
        <f t="shared" ref="J147:J153" si="18">SUM(D147:I147)</f>
        <v>853</v>
      </c>
      <c r="L147" s="2" t="s">
        <v>4</v>
      </c>
      <c r="M147" s="3">
        <f>SUM(E146:E153)</f>
        <v>655</v>
      </c>
      <c r="O147" s="4"/>
      <c r="P147" s="3"/>
    </row>
    <row r="148" spans="1:16">
      <c r="A148" s="2" t="s">
        <v>636</v>
      </c>
      <c r="B148" s="2" t="s">
        <v>1109</v>
      </c>
      <c r="C148" s="2" t="s">
        <v>1110</v>
      </c>
      <c r="D148" s="2">
        <v>179</v>
      </c>
      <c r="E148" s="2">
        <v>135</v>
      </c>
      <c r="F148" s="2">
        <v>205</v>
      </c>
      <c r="G148" s="2">
        <v>207</v>
      </c>
      <c r="H148" s="2">
        <v>214</v>
      </c>
      <c r="I148" s="2">
        <v>132</v>
      </c>
      <c r="J148" s="3">
        <f t="shared" si="18"/>
        <v>1072</v>
      </c>
      <c r="L148" s="2" t="s">
        <v>5</v>
      </c>
      <c r="M148" s="3">
        <f>SUM(F146:F153)</f>
        <v>623</v>
      </c>
      <c r="O148" s="4"/>
      <c r="P148" s="3"/>
    </row>
    <row r="149" spans="1:16">
      <c r="A149" s="2" t="s">
        <v>636</v>
      </c>
      <c r="B149" s="2" t="s">
        <v>1111</v>
      </c>
      <c r="C149" s="2" t="s">
        <v>1112</v>
      </c>
      <c r="D149" s="2">
        <v>93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3">
        <f t="shared" si="18"/>
        <v>93</v>
      </c>
      <c r="L149" s="2" t="s">
        <v>6</v>
      </c>
      <c r="M149" s="3">
        <f>SUM(G146:G153)</f>
        <v>641</v>
      </c>
      <c r="O149" s="4"/>
      <c r="P149" s="3"/>
    </row>
    <row r="150" spans="1:16">
      <c r="A150" s="2" t="s">
        <v>636</v>
      </c>
      <c r="B150" s="2" t="s">
        <v>1113</v>
      </c>
      <c r="C150" s="2" t="s">
        <v>1114</v>
      </c>
      <c r="D150" s="2">
        <v>212</v>
      </c>
      <c r="E150" s="2">
        <v>167</v>
      </c>
      <c r="F150" s="2">
        <v>148</v>
      </c>
      <c r="G150" s="2">
        <v>134</v>
      </c>
      <c r="H150" s="2">
        <v>145</v>
      </c>
      <c r="I150" s="2">
        <v>151</v>
      </c>
      <c r="J150" s="3">
        <f t="shared" si="18"/>
        <v>957</v>
      </c>
      <c r="L150" s="2" t="s">
        <v>7</v>
      </c>
      <c r="M150" s="3">
        <f>SUM(H146:H153)</f>
        <v>682</v>
      </c>
      <c r="O150" s="4"/>
      <c r="P150" s="3"/>
    </row>
    <row r="151" spans="1:16">
      <c r="A151" s="2" t="s">
        <v>636</v>
      </c>
      <c r="B151" s="2"/>
      <c r="C151" s="2"/>
      <c r="D151" s="2"/>
      <c r="E151" s="2"/>
      <c r="F151" s="2"/>
      <c r="G151" s="2"/>
      <c r="H151" s="2"/>
      <c r="I151" s="2"/>
      <c r="J151" s="3">
        <f t="shared" si="18"/>
        <v>0</v>
      </c>
      <c r="L151" s="2" t="s">
        <v>8</v>
      </c>
      <c r="M151" s="3">
        <f>SUM(I146:I153)</f>
        <v>669</v>
      </c>
      <c r="O151" s="4"/>
      <c r="P151" s="3"/>
    </row>
    <row r="152" spans="1:16">
      <c r="A152" s="2" t="s">
        <v>636</v>
      </c>
      <c r="B152" s="2"/>
      <c r="C152" s="2"/>
      <c r="D152" s="2"/>
      <c r="E152" s="2"/>
      <c r="F152" s="2"/>
      <c r="G152" s="2"/>
      <c r="H152" s="2"/>
      <c r="I152" s="2"/>
      <c r="J152" s="3">
        <f t="shared" si="18"/>
        <v>0</v>
      </c>
      <c r="L152" s="3"/>
      <c r="M152" s="3"/>
      <c r="O152" s="4"/>
      <c r="P152" s="3"/>
    </row>
    <row r="153" spans="1:16">
      <c r="A153" s="2" t="s">
        <v>636</v>
      </c>
      <c r="B153" s="2"/>
      <c r="C153" s="2"/>
      <c r="D153" s="2"/>
      <c r="E153" s="2"/>
      <c r="F153" s="2"/>
      <c r="G153" s="2"/>
      <c r="H153" s="2"/>
      <c r="I153" s="2"/>
      <c r="J153" s="3">
        <f t="shared" si="18"/>
        <v>0</v>
      </c>
      <c r="L153" s="2"/>
      <c r="M153" s="3"/>
      <c r="O153" s="4"/>
      <c r="P153" s="3"/>
    </row>
    <row r="154" spans="1:16">
      <c r="A154" s="6" t="s">
        <v>304</v>
      </c>
      <c r="B154" s="6" t="s">
        <v>1115</v>
      </c>
      <c r="C154" s="6" t="s">
        <v>1116</v>
      </c>
      <c r="D154" s="6"/>
      <c r="E154" s="6"/>
      <c r="F154" s="6"/>
      <c r="G154" s="6"/>
      <c r="H154" s="6"/>
      <c r="I154" s="6"/>
      <c r="J154" s="6">
        <f>SUM(D154:I154)</f>
        <v>0</v>
      </c>
      <c r="L154" s="6" t="s">
        <v>3</v>
      </c>
      <c r="M154" s="7">
        <f>SUM(D154:D161)</f>
        <v>822</v>
      </c>
      <c r="O154" s="8" t="str">
        <f>A154</f>
        <v>Lindenwood - Belleville</v>
      </c>
      <c r="P154" s="7">
        <f>SUM(M154:M159)</f>
        <v>5488</v>
      </c>
    </row>
    <row r="155" spans="1:16">
      <c r="A155" s="6" t="s">
        <v>304</v>
      </c>
      <c r="B155" s="6" t="s">
        <v>1117</v>
      </c>
      <c r="C155" s="6" t="s">
        <v>1118</v>
      </c>
      <c r="D155" s="6">
        <v>181</v>
      </c>
      <c r="E155" s="6">
        <v>156</v>
      </c>
      <c r="F155" s="6">
        <v>223</v>
      </c>
      <c r="G155" s="6">
        <v>199</v>
      </c>
      <c r="H155" s="6">
        <v>149</v>
      </c>
      <c r="I155" s="6">
        <v>191</v>
      </c>
      <c r="J155" s="6">
        <f t="shared" ref="J155:J161" si="19">SUM(D155:I155)</f>
        <v>1099</v>
      </c>
      <c r="L155" s="6" t="s">
        <v>4</v>
      </c>
      <c r="M155" s="7">
        <f>SUM(E154:E161)</f>
        <v>862</v>
      </c>
      <c r="O155" s="8"/>
      <c r="P155" s="7"/>
    </row>
    <row r="156" spans="1:16">
      <c r="A156" s="6" t="s">
        <v>304</v>
      </c>
      <c r="B156" s="6" t="s">
        <v>1119</v>
      </c>
      <c r="C156" s="6" t="s">
        <v>1120</v>
      </c>
      <c r="D156" s="6">
        <v>163</v>
      </c>
      <c r="E156" s="6">
        <v>207</v>
      </c>
      <c r="F156" s="6">
        <v>187</v>
      </c>
      <c r="G156" s="6">
        <v>158</v>
      </c>
      <c r="H156" s="6">
        <v>192</v>
      </c>
      <c r="I156" s="6">
        <v>169</v>
      </c>
      <c r="J156" s="6">
        <f t="shared" si="19"/>
        <v>1076</v>
      </c>
      <c r="L156" s="6" t="s">
        <v>5</v>
      </c>
      <c r="M156" s="7">
        <f>SUM(F154:F161)</f>
        <v>926</v>
      </c>
      <c r="O156" s="8"/>
      <c r="P156" s="7"/>
    </row>
    <row r="157" spans="1:16">
      <c r="A157" s="6" t="s">
        <v>304</v>
      </c>
      <c r="B157" s="6" t="s">
        <v>1121</v>
      </c>
      <c r="C157" s="6" t="s">
        <v>1122</v>
      </c>
      <c r="D157" s="6"/>
      <c r="E157" s="6"/>
      <c r="F157" s="6"/>
      <c r="G157" s="6"/>
      <c r="H157" s="6"/>
      <c r="I157" s="6"/>
      <c r="J157" s="6">
        <f t="shared" si="19"/>
        <v>0</v>
      </c>
      <c r="L157" s="6" t="s">
        <v>6</v>
      </c>
      <c r="M157" s="7">
        <f>SUM(G154:G161)</f>
        <v>879</v>
      </c>
      <c r="O157" s="8"/>
      <c r="P157" s="7"/>
    </row>
    <row r="158" spans="1:16">
      <c r="A158" s="6" t="s">
        <v>304</v>
      </c>
      <c r="B158" s="6" t="s">
        <v>1070</v>
      </c>
      <c r="C158" s="6" t="s">
        <v>1123</v>
      </c>
      <c r="D158" s="6">
        <v>193</v>
      </c>
      <c r="E158" s="6">
        <v>160</v>
      </c>
      <c r="F158" s="6">
        <v>200</v>
      </c>
      <c r="G158" s="6">
        <v>149</v>
      </c>
      <c r="H158" s="6">
        <v>257</v>
      </c>
      <c r="I158" s="6">
        <v>247</v>
      </c>
      <c r="J158" s="6">
        <f t="shared" si="19"/>
        <v>1206</v>
      </c>
      <c r="L158" s="6" t="s">
        <v>7</v>
      </c>
      <c r="M158" s="7">
        <f>SUM(H154:H161)</f>
        <v>1043</v>
      </c>
      <c r="O158" s="8"/>
      <c r="P158" s="7"/>
    </row>
    <row r="159" spans="1:16">
      <c r="A159" s="6" t="s">
        <v>304</v>
      </c>
      <c r="B159" s="6" t="s">
        <v>1124</v>
      </c>
      <c r="C159" s="6" t="s">
        <v>1125</v>
      </c>
      <c r="D159" s="6"/>
      <c r="E159" s="6">
        <v>173</v>
      </c>
      <c r="F159" s="6">
        <v>173</v>
      </c>
      <c r="G159" s="6">
        <v>194</v>
      </c>
      <c r="H159" s="6">
        <v>190</v>
      </c>
      <c r="I159" s="6">
        <v>157</v>
      </c>
      <c r="J159" s="6">
        <f t="shared" si="19"/>
        <v>887</v>
      </c>
      <c r="L159" s="6" t="s">
        <v>8</v>
      </c>
      <c r="M159" s="7">
        <f>SUM(I154:I161)</f>
        <v>956</v>
      </c>
      <c r="O159" s="8"/>
      <c r="P159" s="7"/>
    </row>
    <row r="160" spans="1:16">
      <c r="A160" s="6" t="s">
        <v>304</v>
      </c>
      <c r="B160" s="6" t="s">
        <v>1126</v>
      </c>
      <c r="C160" s="6" t="s">
        <v>1127</v>
      </c>
      <c r="D160" s="6">
        <v>156</v>
      </c>
      <c r="E160" s="6">
        <v>166</v>
      </c>
      <c r="F160" s="6">
        <v>143</v>
      </c>
      <c r="G160" s="6"/>
      <c r="H160" s="6"/>
      <c r="I160" s="6"/>
      <c r="J160" s="6">
        <f t="shared" si="19"/>
        <v>465</v>
      </c>
      <c r="L160" s="6"/>
      <c r="M160" s="7"/>
      <c r="O160" s="8"/>
      <c r="P160" s="7"/>
    </row>
    <row r="161" spans="1:16">
      <c r="A161" s="6" t="s">
        <v>304</v>
      </c>
      <c r="B161" s="6" t="s">
        <v>97</v>
      </c>
      <c r="C161" s="6" t="s">
        <v>934</v>
      </c>
      <c r="D161" s="6">
        <v>129</v>
      </c>
      <c r="E161" s="6"/>
      <c r="F161" s="6"/>
      <c r="G161" s="6">
        <v>179</v>
      </c>
      <c r="H161" s="6">
        <v>255</v>
      </c>
      <c r="I161" s="6">
        <v>192</v>
      </c>
      <c r="J161" s="6">
        <f t="shared" si="19"/>
        <v>755</v>
      </c>
      <c r="L161" s="6"/>
      <c r="M161" s="7"/>
      <c r="O161" s="8"/>
      <c r="P161" s="7"/>
    </row>
    <row r="162" spans="1:16">
      <c r="A162" s="2" t="s">
        <v>790</v>
      </c>
      <c r="B162" s="2" t="s">
        <v>1128</v>
      </c>
      <c r="C162" s="2" t="s">
        <v>1129</v>
      </c>
      <c r="D162" s="2"/>
      <c r="E162" s="2"/>
      <c r="F162" s="2">
        <v>173</v>
      </c>
      <c r="G162" s="2">
        <v>138</v>
      </c>
      <c r="H162" s="2"/>
      <c r="I162" s="2"/>
      <c r="J162" s="3">
        <f>SUM(D162:I162)</f>
        <v>311</v>
      </c>
      <c r="L162" s="2" t="s">
        <v>3</v>
      </c>
      <c r="M162" s="3">
        <f>SUM(D162:D169)</f>
        <v>859</v>
      </c>
      <c r="O162" s="4" t="str">
        <f>A162</f>
        <v>Adrian</v>
      </c>
      <c r="P162" s="3">
        <f>SUM(M162:M167)</f>
        <v>5462</v>
      </c>
    </row>
    <row r="163" spans="1:16">
      <c r="A163" s="2" t="s">
        <v>790</v>
      </c>
      <c r="B163" s="2" t="s">
        <v>1130</v>
      </c>
      <c r="C163" s="2" t="s">
        <v>1131</v>
      </c>
      <c r="D163" s="2">
        <v>207</v>
      </c>
      <c r="E163" s="2">
        <v>209</v>
      </c>
      <c r="F163" s="2">
        <v>182</v>
      </c>
      <c r="G163" s="2">
        <v>206</v>
      </c>
      <c r="H163" s="2">
        <v>194</v>
      </c>
      <c r="I163" s="2">
        <v>254</v>
      </c>
      <c r="J163" s="3">
        <f t="shared" ref="J163:J169" si="20">SUM(D163:I163)</f>
        <v>1252</v>
      </c>
      <c r="L163" s="2" t="s">
        <v>4</v>
      </c>
      <c r="M163" s="3">
        <f>SUM(E162:E169)</f>
        <v>834</v>
      </c>
      <c r="O163" s="4"/>
      <c r="P163" s="3"/>
    </row>
    <row r="164" spans="1:16">
      <c r="A164" s="2" t="s">
        <v>790</v>
      </c>
      <c r="B164" s="2" t="s">
        <v>1132</v>
      </c>
      <c r="C164" s="2" t="s">
        <v>1068</v>
      </c>
      <c r="D164" s="2">
        <v>171</v>
      </c>
      <c r="E164" s="2">
        <v>154</v>
      </c>
      <c r="F164" s="2">
        <v>184</v>
      </c>
      <c r="G164" s="2">
        <v>187</v>
      </c>
      <c r="H164" s="2">
        <v>212</v>
      </c>
      <c r="I164" s="2">
        <v>176</v>
      </c>
      <c r="J164" s="3">
        <f t="shared" si="20"/>
        <v>1084</v>
      </c>
      <c r="L164" s="2" t="s">
        <v>5</v>
      </c>
      <c r="M164" s="3">
        <f>SUM(F162:F169)</f>
        <v>897</v>
      </c>
      <c r="O164" s="4"/>
      <c r="P164" s="3"/>
    </row>
    <row r="165" spans="1:16">
      <c r="A165" s="2" t="s">
        <v>790</v>
      </c>
      <c r="B165" s="2" t="s">
        <v>909</v>
      </c>
      <c r="C165" s="2" t="s">
        <v>1133</v>
      </c>
      <c r="D165" s="2">
        <v>136</v>
      </c>
      <c r="E165" s="2">
        <v>127</v>
      </c>
      <c r="F165" s="2"/>
      <c r="G165" s="2">
        <v>162</v>
      </c>
      <c r="H165" s="2">
        <v>233</v>
      </c>
      <c r="I165" s="2">
        <v>192</v>
      </c>
      <c r="J165" s="3">
        <f t="shared" si="20"/>
        <v>850</v>
      </c>
      <c r="L165" s="2" t="s">
        <v>6</v>
      </c>
      <c r="M165" s="3">
        <f>SUM(G162:G169)</f>
        <v>873</v>
      </c>
      <c r="O165" s="4"/>
      <c r="P165" s="3"/>
    </row>
    <row r="166" spans="1:16">
      <c r="A166" s="2" t="s">
        <v>790</v>
      </c>
      <c r="B166" s="2" t="s">
        <v>1134</v>
      </c>
      <c r="C166" s="2" t="s">
        <v>1135</v>
      </c>
      <c r="D166" s="2">
        <v>145</v>
      </c>
      <c r="E166" s="2">
        <v>176</v>
      </c>
      <c r="F166" s="2">
        <v>183</v>
      </c>
      <c r="G166" s="2">
        <v>180</v>
      </c>
      <c r="H166" s="2">
        <v>199</v>
      </c>
      <c r="I166" s="2">
        <v>184</v>
      </c>
      <c r="J166" s="3">
        <f t="shared" si="20"/>
        <v>1067</v>
      </c>
      <c r="L166" s="2" t="s">
        <v>7</v>
      </c>
      <c r="M166" s="3">
        <f>SUM(H162:H169)</f>
        <v>1018</v>
      </c>
      <c r="O166" s="4"/>
      <c r="P166" s="3"/>
    </row>
    <row r="167" spans="1:16">
      <c r="A167" s="2" t="s">
        <v>790</v>
      </c>
      <c r="B167" s="2" t="s">
        <v>949</v>
      </c>
      <c r="C167" s="2" t="s">
        <v>1136</v>
      </c>
      <c r="D167" s="2">
        <v>200</v>
      </c>
      <c r="E167" s="2">
        <v>168</v>
      </c>
      <c r="F167" s="2">
        <v>175</v>
      </c>
      <c r="G167" s="2"/>
      <c r="H167" s="2">
        <v>180</v>
      </c>
      <c r="I167" s="2">
        <v>175</v>
      </c>
      <c r="J167" s="3">
        <f t="shared" si="20"/>
        <v>898</v>
      </c>
      <c r="L167" s="2" t="s">
        <v>8</v>
      </c>
      <c r="M167" s="3">
        <f>SUM(I162:I169)</f>
        <v>981</v>
      </c>
      <c r="O167" s="4"/>
      <c r="P167" s="3"/>
    </row>
    <row r="168" spans="1:16">
      <c r="A168" s="2" t="s">
        <v>790</v>
      </c>
      <c r="B168" s="2"/>
      <c r="C168" s="2"/>
      <c r="D168" s="2"/>
      <c r="E168" s="2"/>
      <c r="F168" s="2"/>
      <c r="G168" s="2"/>
      <c r="H168" s="2"/>
      <c r="I168" s="2"/>
      <c r="J168" s="3">
        <f t="shared" si="20"/>
        <v>0</v>
      </c>
      <c r="L168" s="2"/>
      <c r="M168" s="3"/>
      <c r="O168" s="4"/>
      <c r="P168" s="3"/>
    </row>
    <row r="169" spans="1:16">
      <c r="A169" s="2" t="s">
        <v>790</v>
      </c>
      <c r="B169" s="2"/>
      <c r="C169" s="2"/>
      <c r="D169" s="2"/>
      <c r="E169" s="2"/>
      <c r="F169" s="2"/>
      <c r="G169" s="2"/>
      <c r="H169" s="2"/>
      <c r="I169" s="2"/>
      <c r="J169" s="3">
        <f t="shared" si="20"/>
        <v>0</v>
      </c>
      <c r="L169" s="2"/>
      <c r="M169" s="3"/>
      <c r="O169" s="4"/>
      <c r="P169" s="3"/>
    </row>
    <row r="170" spans="1:16">
      <c r="A170" s="6" t="s">
        <v>127</v>
      </c>
      <c r="B170" s="6" t="s">
        <v>1137</v>
      </c>
      <c r="C170" s="6" t="s">
        <v>133</v>
      </c>
      <c r="D170" s="6">
        <v>211</v>
      </c>
      <c r="E170" s="6">
        <v>204</v>
      </c>
      <c r="F170" s="6">
        <v>190</v>
      </c>
      <c r="G170" s="6">
        <v>201</v>
      </c>
      <c r="H170" s="6">
        <v>192</v>
      </c>
      <c r="I170" s="6">
        <v>191</v>
      </c>
      <c r="J170" s="6">
        <f>SUM(D170:I170)</f>
        <v>1189</v>
      </c>
      <c r="L170" s="6" t="s">
        <v>3</v>
      </c>
      <c r="M170" s="7">
        <f>SUM(D170:D177)</f>
        <v>911</v>
      </c>
      <c r="O170" s="8" t="str">
        <f>A170</f>
        <v>Aquinas</v>
      </c>
      <c r="P170" s="7">
        <f>SUM(M170:M175)</f>
        <v>5370</v>
      </c>
    </row>
    <row r="171" spans="1:16">
      <c r="A171" s="6" t="s">
        <v>127</v>
      </c>
      <c r="B171" s="6" t="s">
        <v>1138</v>
      </c>
      <c r="C171" s="6" t="s">
        <v>1139</v>
      </c>
      <c r="D171" s="6"/>
      <c r="E171" s="6"/>
      <c r="F171" s="6"/>
      <c r="G171" s="6">
        <v>161</v>
      </c>
      <c r="H171" s="6">
        <v>145</v>
      </c>
      <c r="I171" s="6"/>
      <c r="J171" s="6">
        <f t="shared" ref="J171:J177" si="21">SUM(D171:I171)</f>
        <v>306</v>
      </c>
      <c r="L171" s="6" t="s">
        <v>4</v>
      </c>
      <c r="M171" s="7">
        <f>SUM(E170:E177)</f>
        <v>902</v>
      </c>
      <c r="O171" s="8"/>
      <c r="P171" s="7"/>
    </row>
    <row r="172" spans="1:16">
      <c r="A172" s="6" t="s">
        <v>127</v>
      </c>
      <c r="B172" s="6" t="s">
        <v>1140</v>
      </c>
      <c r="C172" s="6" t="s">
        <v>1141</v>
      </c>
      <c r="D172" s="6"/>
      <c r="E172" s="6"/>
      <c r="F172" s="6">
        <v>159</v>
      </c>
      <c r="G172" s="6">
        <v>211</v>
      </c>
      <c r="H172" s="6">
        <v>193</v>
      </c>
      <c r="I172" s="6">
        <v>214</v>
      </c>
      <c r="J172" s="6">
        <f t="shared" si="21"/>
        <v>777</v>
      </c>
      <c r="L172" s="6" t="s">
        <v>5</v>
      </c>
      <c r="M172" s="7">
        <f>SUM(F170:F177)</f>
        <v>857</v>
      </c>
      <c r="O172" s="8"/>
      <c r="P172" s="7"/>
    </row>
    <row r="173" spans="1:16">
      <c r="A173" s="6" t="s">
        <v>127</v>
      </c>
      <c r="B173" s="6" t="s">
        <v>1142</v>
      </c>
      <c r="C173" s="6" t="s">
        <v>1143</v>
      </c>
      <c r="D173" s="6">
        <v>169</v>
      </c>
      <c r="E173" s="6">
        <v>180</v>
      </c>
      <c r="F173" s="6">
        <v>163</v>
      </c>
      <c r="G173" s="6">
        <v>190</v>
      </c>
      <c r="H173" s="6">
        <v>164</v>
      </c>
      <c r="I173" s="6">
        <v>144</v>
      </c>
      <c r="J173" s="6">
        <f t="shared" si="21"/>
        <v>1010</v>
      </c>
      <c r="L173" s="6" t="s">
        <v>6</v>
      </c>
      <c r="M173" s="7">
        <f>SUM(G170:G177)</f>
        <v>938</v>
      </c>
      <c r="O173" s="8"/>
      <c r="P173" s="7"/>
    </row>
    <row r="174" spans="1:16">
      <c r="A174" s="6" t="s">
        <v>127</v>
      </c>
      <c r="B174" s="6" t="s">
        <v>1144</v>
      </c>
      <c r="C174" s="6" t="s">
        <v>1145</v>
      </c>
      <c r="D174" s="6">
        <v>185</v>
      </c>
      <c r="E174" s="6">
        <v>166</v>
      </c>
      <c r="F174" s="6"/>
      <c r="G174" s="6"/>
      <c r="H174" s="6"/>
      <c r="I174" s="6"/>
      <c r="J174" s="6">
        <f t="shared" si="21"/>
        <v>351</v>
      </c>
      <c r="L174" s="6" t="s">
        <v>7</v>
      </c>
      <c r="M174" s="7">
        <f>SUM(H170:H177)</f>
        <v>861</v>
      </c>
      <c r="O174" s="8"/>
      <c r="P174" s="7"/>
    </row>
    <row r="175" spans="1:16">
      <c r="A175" s="6" t="s">
        <v>127</v>
      </c>
      <c r="B175" s="6" t="s">
        <v>1146</v>
      </c>
      <c r="C175" s="6" t="s">
        <v>1147</v>
      </c>
      <c r="D175" s="6"/>
      <c r="E175" s="6"/>
      <c r="F175" s="6">
        <v>167</v>
      </c>
      <c r="G175" s="6">
        <v>175</v>
      </c>
      <c r="H175" s="6"/>
      <c r="I175" s="6"/>
      <c r="J175" s="6">
        <f t="shared" si="21"/>
        <v>342</v>
      </c>
      <c r="L175" s="6" t="s">
        <v>8</v>
      </c>
      <c r="M175" s="7">
        <f>SUM(I170:I177)</f>
        <v>901</v>
      </c>
      <c r="O175" s="8"/>
      <c r="P175" s="7"/>
    </row>
    <row r="176" spans="1:16">
      <c r="A176" s="6" t="s">
        <v>127</v>
      </c>
      <c r="B176" s="6" t="s">
        <v>400</v>
      </c>
      <c r="C176" s="6" t="s">
        <v>1148</v>
      </c>
      <c r="D176" s="6">
        <v>170</v>
      </c>
      <c r="E176" s="6">
        <v>176</v>
      </c>
      <c r="F176" s="6">
        <v>178</v>
      </c>
      <c r="G176" s="6"/>
      <c r="H176" s="6"/>
      <c r="I176" s="6">
        <v>200</v>
      </c>
      <c r="J176" s="6">
        <f t="shared" si="21"/>
        <v>724</v>
      </c>
      <c r="L176" s="6"/>
      <c r="M176" s="7"/>
      <c r="O176" s="8"/>
      <c r="P176" s="7"/>
    </row>
    <row r="177" spans="1:16">
      <c r="A177" s="6" t="s">
        <v>127</v>
      </c>
      <c r="B177" s="6" t="s">
        <v>949</v>
      </c>
      <c r="C177" s="6" t="s">
        <v>1149</v>
      </c>
      <c r="D177" s="6">
        <v>176</v>
      </c>
      <c r="E177" s="6">
        <v>176</v>
      </c>
      <c r="F177" s="6"/>
      <c r="G177" s="6"/>
      <c r="H177" s="6">
        <v>167</v>
      </c>
      <c r="I177" s="6">
        <v>152</v>
      </c>
      <c r="J177" s="6">
        <f t="shared" si="21"/>
        <v>671</v>
      </c>
      <c r="L177" s="6"/>
      <c r="M177" s="7"/>
      <c r="O177" s="8"/>
      <c r="P177" s="7"/>
    </row>
    <row r="178" spans="1:16">
      <c r="A178" s="2" t="s">
        <v>750</v>
      </c>
      <c r="B178" s="2" t="s">
        <v>1150</v>
      </c>
      <c r="C178" s="2" t="s">
        <v>1151</v>
      </c>
      <c r="D178" s="2"/>
      <c r="E178" s="2"/>
      <c r="F178" s="2"/>
      <c r="G178" s="2"/>
      <c r="H178" s="2"/>
      <c r="I178" s="2"/>
      <c r="J178" s="3">
        <f>SUM(D178:I178)</f>
        <v>0</v>
      </c>
      <c r="L178" s="2" t="s">
        <v>3</v>
      </c>
      <c r="M178" s="3">
        <f>SUM(D178:D185)</f>
        <v>943</v>
      </c>
      <c r="O178" s="4" t="str">
        <f>A178</f>
        <v>Baker</v>
      </c>
      <c r="P178" s="3">
        <f>SUM(M178:M183)</f>
        <v>5382</v>
      </c>
    </row>
    <row r="179" spans="1:16">
      <c r="A179" s="2" t="s">
        <v>750</v>
      </c>
      <c r="B179" s="2" t="s">
        <v>1152</v>
      </c>
      <c r="C179" s="2" t="s">
        <v>1153</v>
      </c>
      <c r="D179" s="2">
        <v>235</v>
      </c>
      <c r="E179" s="2">
        <v>184</v>
      </c>
      <c r="F179" s="2">
        <v>155</v>
      </c>
      <c r="G179" s="2">
        <v>197</v>
      </c>
      <c r="H179" s="2">
        <v>179</v>
      </c>
      <c r="I179" s="2">
        <v>190</v>
      </c>
      <c r="J179" s="3">
        <f t="shared" ref="J179:J185" si="22">SUM(D179:I179)</f>
        <v>1140</v>
      </c>
      <c r="L179" s="2" t="s">
        <v>4</v>
      </c>
      <c r="M179" s="3">
        <f>SUM(E178:E185)</f>
        <v>928</v>
      </c>
      <c r="O179" s="4"/>
      <c r="P179" s="3"/>
    </row>
    <row r="180" spans="1:16">
      <c r="A180" s="2" t="s">
        <v>750</v>
      </c>
      <c r="B180" s="2" t="s">
        <v>1154</v>
      </c>
      <c r="C180" s="2" t="s">
        <v>1155</v>
      </c>
      <c r="D180" s="2"/>
      <c r="E180" s="2"/>
      <c r="F180" s="2"/>
      <c r="G180" s="2"/>
      <c r="H180" s="2"/>
      <c r="I180" s="2"/>
      <c r="J180" s="3">
        <f t="shared" si="22"/>
        <v>0</v>
      </c>
      <c r="L180" s="2" t="s">
        <v>5</v>
      </c>
      <c r="M180" s="3">
        <f>SUM(F178:F185)</f>
        <v>793</v>
      </c>
      <c r="O180" s="4"/>
      <c r="P180" s="3"/>
    </row>
    <row r="181" spans="1:16">
      <c r="A181" s="2" t="s">
        <v>750</v>
      </c>
      <c r="B181" s="2" t="s">
        <v>1156</v>
      </c>
      <c r="C181" s="2" t="s">
        <v>1157</v>
      </c>
      <c r="D181" s="2">
        <v>180</v>
      </c>
      <c r="E181" s="2">
        <v>192</v>
      </c>
      <c r="F181" s="2">
        <v>187</v>
      </c>
      <c r="G181" s="2">
        <v>182</v>
      </c>
      <c r="H181" s="2">
        <v>184</v>
      </c>
      <c r="I181" s="2">
        <v>204</v>
      </c>
      <c r="J181" s="3">
        <f t="shared" si="22"/>
        <v>1129</v>
      </c>
      <c r="L181" s="2" t="s">
        <v>6</v>
      </c>
      <c r="M181" s="3">
        <f>SUM(G178:G185)</f>
        <v>925</v>
      </c>
      <c r="O181" s="4"/>
      <c r="P181" s="3"/>
    </row>
    <row r="182" spans="1:16">
      <c r="A182" s="2" t="s">
        <v>750</v>
      </c>
      <c r="B182" s="2" t="s">
        <v>990</v>
      </c>
      <c r="C182" s="2" t="s">
        <v>1158</v>
      </c>
      <c r="D182" s="2"/>
      <c r="E182" s="2"/>
      <c r="F182" s="2"/>
      <c r="G182" s="2">
        <v>180</v>
      </c>
      <c r="H182" s="2">
        <v>156</v>
      </c>
      <c r="I182" s="2">
        <v>191</v>
      </c>
      <c r="J182" s="3">
        <f t="shared" si="22"/>
        <v>527</v>
      </c>
      <c r="L182" s="2" t="s">
        <v>7</v>
      </c>
      <c r="M182" s="3">
        <f>SUM(H178:H185)</f>
        <v>825</v>
      </c>
      <c r="O182" s="4"/>
      <c r="P182" s="3"/>
    </row>
    <row r="183" spans="1:16">
      <c r="A183" s="2" t="s">
        <v>750</v>
      </c>
      <c r="B183" s="2" t="s">
        <v>1159</v>
      </c>
      <c r="C183" s="2" t="s">
        <v>1160</v>
      </c>
      <c r="D183" s="2">
        <v>190</v>
      </c>
      <c r="E183" s="2">
        <v>179</v>
      </c>
      <c r="F183" s="2">
        <v>135</v>
      </c>
      <c r="G183" s="2"/>
      <c r="H183" s="2"/>
      <c r="I183" s="2"/>
      <c r="J183" s="3">
        <f t="shared" si="22"/>
        <v>504</v>
      </c>
      <c r="L183" s="2" t="s">
        <v>8</v>
      </c>
      <c r="M183" s="3">
        <f>SUM(I178:I185)</f>
        <v>968</v>
      </c>
      <c r="O183" s="4"/>
      <c r="P183" s="3"/>
    </row>
    <row r="184" spans="1:16">
      <c r="A184" s="2" t="s">
        <v>750</v>
      </c>
      <c r="B184" s="2" t="s">
        <v>1161</v>
      </c>
      <c r="C184" s="2" t="s">
        <v>161</v>
      </c>
      <c r="D184" s="2">
        <v>169</v>
      </c>
      <c r="E184" s="2">
        <v>164</v>
      </c>
      <c r="F184" s="2">
        <v>124</v>
      </c>
      <c r="G184" s="2">
        <v>157</v>
      </c>
      <c r="H184" s="2">
        <v>160</v>
      </c>
      <c r="I184" s="2">
        <v>194</v>
      </c>
      <c r="J184" s="3">
        <f t="shared" si="22"/>
        <v>968</v>
      </c>
      <c r="L184" s="3"/>
      <c r="M184" s="3"/>
      <c r="O184" s="4"/>
      <c r="P184" s="3"/>
    </row>
    <row r="185" spans="1:16">
      <c r="A185" s="4" t="s">
        <v>750</v>
      </c>
      <c r="B185" s="2" t="s">
        <v>986</v>
      </c>
      <c r="C185" s="2" t="s">
        <v>238</v>
      </c>
      <c r="D185" s="2">
        <v>169</v>
      </c>
      <c r="E185" s="2">
        <v>209</v>
      </c>
      <c r="F185" s="2">
        <v>192</v>
      </c>
      <c r="G185" s="2">
        <v>209</v>
      </c>
      <c r="H185" s="2">
        <v>146</v>
      </c>
      <c r="I185" s="2">
        <v>189</v>
      </c>
      <c r="J185" s="3">
        <f t="shared" si="22"/>
        <v>1114</v>
      </c>
      <c r="L185" s="2"/>
      <c r="M185" s="3"/>
      <c r="O185" s="4"/>
      <c r="P185" s="3"/>
    </row>
    <row r="186" spans="1:16">
      <c r="A186" s="6" t="s">
        <v>665</v>
      </c>
      <c r="B186" s="6" t="s">
        <v>1162</v>
      </c>
      <c r="C186" s="6" t="s">
        <v>1163</v>
      </c>
      <c r="D186" s="6">
        <v>129</v>
      </c>
      <c r="E186" s="6">
        <v>176</v>
      </c>
      <c r="F186" s="6">
        <v>168</v>
      </c>
      <c r="G186" s="6"/>
      <c r="H186" s="6"/>
      <c r="I186" s="6"/>
      <c r="J186" s="6">
        <f>SUM(D186:I186)</f>
        <v>473</v>
      </c>
      <c r="L186" s="6" t="s">
        <v>3</v>
      </c>
      <c r="M186" s="7">
        <f>SUM(D186:D193)</f>
        <v>765</v>
      </c>
      <c r="O186" s="8" t="str">
        <f>A186</f>
        <v>Bowling Green State</v>
      </c>
      <c r="P186" s="7">
        <f>SUM(M186:M191)</f>
        <v>5032</v>
      </c>
    </row>
    <row r="187" spans="1:16">
      <c r="A187" s="6" t="s">
        <v>665</v>
      </c>
      <c r="B187" s="6" t="s">
        <v>1164</v>
      </c>
      <c r="C187" s="6" t="s">
        <v>1165</v>
      </c>
      <c r="D187" s="6"/>
      <c r="E187" s="6"/>
      <c r="F187" s="6"/>
      <c r="G187" s="6">
        <v>149</v>
      </c>
      <c r="H187" s="6">
        <v>212</v>
      </c>
      <c r="I187" s="6">
        <v>174</v>
      </c>
      <c r="J187" s="6">
        <f t="shared" ref="J187:J193" si="23">SUM(D187:I187)</f>
        <v>535</v>
      </c>
      <c r="L187" s="6" t="s">
        <v>4</v>
      </c>
      <c r="M187" s="7">
        <f>SUM(E186:E193)</f>
        <v>857</v>
      </c>
      <c r="O187" s="8"/>
      <c r="P187" s="7"/>
    </row>
    <row r="188" spans="1:16">
      <c r="A188" s="6" t="s">
        <v>665</v>
      </c>
      <c r="B188" s="6" t="s">
        <v>924</v>
      </c>
      <c r="C188" s="6" t="s">
        <v>1166</v>
      </c>
      <c r="D188" s="6">
        <v>182</v>
      </c>
      <c r="E188" s="6">
        <v>211</v>
      </c>
      <c r="F188" s="6">
        <v>162</v>
      </c>
      <c r="G188" s="6">
        <v>179</v>
      </c>
      <c r="H188" s="6">
        <v>161</v>
      </c>
      <c r="I188" s="6">
        <v>207</v>
      </c>
      <c r="J188" s="6">
        <f t="shared" si="23"/>
        <v>1102</v>
      </c>
      <c r="L188" s="6" t="s">
        <v>5</v>
      </c>
      <c r="M188" s="7">
        <f>SUM(F186:F193)</f>
        <v>864</v>
      </c>
      <c r="O188" s="8"/>
      <c r="P188" s="7"/>
    </row>
    <row r="189" spans="1:16">
      <c r="A189" s="6" t="s">
        <v>665</v>
      </c>
      <c r="B189" s="6" t="s">
        <v>1167</v>
      </c>
      <c r="C189" s="6" t="s">
        <v>1168</v>
      </c>
      <c r="D189" s="6">
        <v>165</v>
      </c>
      <c r="E189" s="6">
        <v>158</v>
      </c>
      <c r="F189" s="6">
        <v>157</v>
      </c>
      <c r="G189" s="6">
        <v>200</v>
      </c>
      <c r="H189" s="6">
        <v>154</v>
      </c>
      <c r="I189" s="6">
        <v>146</v>
      </c>
      <c r="J189" s="6">
        <f t="shared" si="23"/>
        <v>980</v>
      </c>
      <c r="L189" s="6" t="s">
        <v>6</v>
      </c>
      <c r="M189" s="7">
        <f>SUM(G186:G193)</f>
        <v>865</v>
      </c>
      <c r="O189" s="8"/>
      <c r="P189" s="7"/>
    </row>
    <row r="190" spans="1:16">
      <c r="A190" s="6" t="s">
        <v>665</v>
      </c>
      <c r="B190" s="6" t="s">
        <v>193</v>
      </c>
      <c r="C190" s="6" t="s">
        <v>860</v>
      </c>
      <c r="D190" s="6"/>
      <c r="E190" s="6"/>
      <c r="F190" s="6"/>
      <c r="G190" s="6"/>
      <c r="H190" s="6"/>
      <c r="I190" s="6"/>
      <c r="J190" s="6">
        <f t="shared" si="23"/>
        <v>0</v>
      </c>
      <c r="L190" s="6" t="s">
        <v>7</v>
      </c>
      <c r="M190" s="7">
        <f>SUM(H186:H193)</f>
        <v>800</v>
      </c>
      <c r="O190" s="8"/>
      <c r="P190" s="7"/>
    </row>
    <row r="191" spans="1:16">
      <c r="A191" s="6" t="s">
        <v>665</v>
      </c>
      <c r="B191" s="6" t="s">
        <v>1111</v>
      </c>
      <c r="C191" s="6" t="s">
        <v>1169</v>
      </c>
      <c r="D191" s="6">
        <v>124</v>
      </c>
      <c r="E191" s="6">
        <v>180</v>
      </c>
      <c r="F191" s="6">
        <v>189</v>
      </c>
      <c r="G191" s="6">
        <v>179</v>
      </c>
      <c r="H191" s="6">
        <v>148</v>
      </c>
      <c r="I191" s="6">
        <v>179</v>
      </c>
      <c r="J191" s="6">
        <f t="shared" si="23"/>
        <v>999</v>
      </c>
      <c r="L191" s="6" t="s">
        <v>8</v>
      </c>
      <c r="M191" s="7">
        <f>SUM(I186:I193)</f>
        <v>881</v>
      </c>
      <c r="O191" s="8"/>
      <c r="P191" s="7"/>
    </row>
    <row r="192" spans="1:16">
      <c r="A192" s="6" t="s">
        <v>665</v>
      </c>
      <c r="B192" s="6" t="s">
        <v>1170</v>
      </c>
      <c r="C192" s="6" t="s">
        <v>1171</v>
      </c>
      <c r="D192" s="6">
        <v>165</v>
      </c>
      <c r="E192" s="6">
        <v>132</v>
      </c>
      <c r="F192" s="6">
        <v>188</v>
      </c>
      <c r="G192" s="6"/>
      <c r="H192" s="6"/>
      <c r="I192" s="6"/>
      <c r="J192" s="6">
        <f t="shared" si="23"/>
        <v>485</v>
      </c>
      <c r="L192" s="6"/>
      <c r="M192" s="7"/>
      <c r="O192" s="8"/>
      <c r="P192" s="7"/>
    </row>
    <row r="193" spans="1:16">
      <c r="A193" s="6" t="s">
        <v>665</v>
      </c>
      <c r="B193" s="6" t="s">
        <v>1172</v>
      </c>
      <c r="C193" s="6" t="s">
        <v>1173</v>
      </c>
      <c r="D193" s="6"/>
      <c r="E193" s="6"/>
      <c r="F193" s="6"/>
      <c r="G193" s="6">
        <v>158</v>
      </c>
      <c r="H193" s="6">
        <v>125</v>
      </c>
      <c r="I193" s="6">
        <v>175</v>
      </c>
      <c r="J193" s="6">
        <f t="shared" si="23"/>
        <v>458</v>
      </c>
      <c r="L193" s="6"/>
      <c r="M193" s="7"/>
      <c r="O193" s="8"/>
      <c r="P193" s="7"/>
    </row>
    <row r="194" spans="1:16">
      <c r="A194" s="2" t="s">
        <v>763</v>
      </c>
      <c r="B194" s="2" t="s">
        <v>1000</v>
      </c>
      <c r="C194" s="2" t="s">
        <v>1174</v>
      </c>
      <c r="D194" s="2"/>
      <c r="E194" s="2"/>
      <c r="F194" s="2"/>
      <c r="G194" s="2"/>
      <c r="H194" s="2"/>
      <c r="I194" s="2"/>
      <c r="J194" s="3">
        <f>SUM(D194:I194)</f>
        <v>0</v>
      </c>
      <c r="L194" s="2" t="s">
        <v>3</v>
      </c>
      <c r="M194" s="3">
        <f>SUM(D194:D201)</f>
        <v>873</v>
      </c>
      <c r="O194" s="4" t="str">
        <f>A194</f>
        <v>Midland</v>
      </c>
      <c r="P194" s="3">
        <f>SUM(M194:M199)</f>
        <v>5478</v>
      </c>
    </row>
    <row r="195" spans="1:16">
      <c r="A195" s="2" t="s">
        <v>763</v>
      </c>
      <c r="B195" s="2" t="s">
        <v>1175</v>
      </c>
      <c r="C195" s="2" t="s">
        <v>1176</v>
      </c>
      <c r="D195" s="2"/>
      <c r="E195" s="2"/>
      <c r="F195" s="2">
        <v>155</v>
      </c>
      <c r="G195" s="2">
        <v>172</v>
      </c>
      <c r="H195" s="2">
        <v>190</v>
      </c>
      <c r="I195" s="2">
        <v>192</v>
      </c>
      <c r="J195" s="3">
        <f t="shared" ref="J195:J201" si="24">SUM(D195:I195)</f>
        <v>709</v>
      </c>
      <c r="L195" s="2" t="s">
        <v>4</v>
      </c>
      <c r="M195" s="3">
        <f>SUM(E194:E201)</f>
        <v>972</v>
      </c>
      <c r="O195" s="4"/>
      <c r="P195" s="3"/>
    </row>
    <row r="196" spans="1:16">
      <c r="A196" s="2" t="s">
        <v>763</v>
      </c>
      <c r="B196" s="2" t="s">
        <v>1177</v>
      </c>
      <c r="C196" s="2" t="s">
        <v>1178</v>
      </c>
      <c r="D196" s="2">
        <v>214</v>
      </c>
      <c r="E196" s="2">
        <v>169</v>
      </c>
      <c r="F196" s="2">
        <v>193</v>
      </c>
      <c r="G196" s="2">
        <v>203</v>
      </c>
      <c r="H196" s="2">
        <v>204</v>
      </c>
      <c r="I196" s="2">
        <v>188</v>
      </c>
      <c r="J196" s="3">
        <f t="shared" si="24"/>
        <v>1171</v>
      </c>
      <c r="L196" s="2" t="s">
        <v>5</v>
      </c>
      <c r="M196" s="3">
        <f>SUM(F194:F201)</f>
        <v>839</v>
      </c>
      <c r="O196" s="4"/>
      <c r="P196" s="3"/>
    </row>
    <row r="197" spans="1:16">
      <c r="A197" s="2" t="s">
        <v>763</v>
      </c>
      <c r="B197" s="2" t="s">
        <v>1179</v>
      </c>
      <c r="C197" s="2" t="s">
        <v>1180</v>
      </c>
      <c r="D197" s="2">
        <v>148</v>
      </c>
      <c r="E197" s="2">
        <v>169</v>
      </c>
      <c r="F197" s="2">
        <v>160</v>
      </c>
      <c r="G197" s="2">
        <v>163</v>
      </c>
      <c r="H197" s="2"/>
      <c r="I197" s="2"/>
      <c r="J197" s="3">
        <f t="shared" si="24"/>
        <v>640</v>
      </c>
      <c r="L197" s="2" t="s">
        <v>6</v>
      </c>
      <c r="M197" s="3">
        <f>SUM(G194:G201)</f>
        <v>888</v>
      </c>
      <c r="O197" s="4"/>
      <c r="P197" s="3"/>
    </row>
    <row r="198" spans="1:16">
      <c r="A198" s="2" t="s">
        <v>763</v>
      </c>
      <c r="B198" s="2" t="s">
        <v>1181</v>
      </c>
      <c r="C198" s="2" t="s">
        <v>1182</v>
      </c>
      <c r="D198" s="2">
        <v>177</v>
      </c>
      <c r="E198" s="2">
        <v>223</v>
      </c>
      <c r="F198" s="2">
        <v>162</v>
      </c>
      <c r="G198" s="2">
        <v>196</v>
      </c>
      <c r="H198" s="2">
        <v>223</v>
      </c>
      <c r="I198" s="2">
        <v>151</v>
      </c>
      <c r="J198" s="3">
        <f t="shared" si="24"/>
        <v>1132</v>
      </c>
      <c r="L198" s="2" t="s">
        <v>7</v>
      </c>
      <c r="M198" s="3">
        <f>SUM(H194:H201)</f>
        <v>989</v>
      </c>
      <c r="O198" s="4"/>
      <c r="P198" s="3"/>
    </row>
    <row r="199" spans="1:16">
      <c r="A199" s="2" t="s">
        <v>763</v>
      </c>
      <c r="B199" s="2" t="s">
        <v>97</v>
      </c>
      <c r="C199" s="2" t="s">
        <v>1183</v>
      </c>
      <c r="D199" s="2"/>
      <c r="E199" s="2"/>
      <c r="F199" s="2"/>
      <c r="G199" s="2"/>
      <c r="H199" s="2">
        <v>220</v>
      </c>
      <c r="I199" s="2">
        <v>194</v>
      </c>
      <c r="J199" s="3">
        <f t="shared" si="24"/>
        <v>414</v>
      </c>
      <c r="L199" s="2" t="s">
        <v>8</v>
      </c>
      <c r="M199" s="3">
        <f>SUM(I194:I201)</f>
        <v>917</v>
      </c>
      <c r="O199" s="4"/>
      <c r="P199" s="3"/>
    </row>
    <row r="200" spans="1:16">
      <c r="A200" s="2" t="s">
        <v>763</v>
      </c>
      <c r="B200" s="2" t="s">
        <v>1184</v>
      </c>
      <c r="C200" s="2" t="s">
        <v>1185</v>
      </c>
      <c r="D200" s="2">
        <v>167</v>
      </c>
      <c r="E200" s="2">
        <v>146</v>
      </c>
      <c r="F200" s="2"/>
      <c r="G200" s="2"/>
      <c r="H200" s="2"/>
      <c r="I200" s="2"/>
      <c r="J200" s="3">
        <f t="shared" si="24"/>
        <v>313</v>
      </c>
      <c r="L200" s="3"/>
      <c r="M200" s="3"/>
      <c r="O200" s="4"/>
      <c r="P200" s="3"/>
    </row>
    <row r="201" spans="1:16">
      <c r="A201" s="4" t="s">
        <v>763</v>
      </c>
      <c r="B201" s="2" t="s">
        <v>1186</v>
      </c>
      <c r="C201" s="2" t="s">
        <v>1187</v>
      </c>
      <c r="D201" s="2">
        <v>167</v>
      </c>
      <c r="E201" s="2">
        <v>265</v>
      </c>
      <c r="F201" s="2">
        <v>169</v>
      </c>
      <c r="G201" s="2">
        <v>154</v>
      </c>
      <c r="H201" s="2">
        <v>152</v>
      </c>
      <c r="I201" s="2">
        <v>192</v>
      </c>
      <c r="J201" s="3">
        <f t="shared" si="24"/>
        <v>1099</v>
      </c>
      <c r="L201" s="2"/>
      <c r="M201" s="3"/>
      <c r="O201" s="4"/>
      <c r="P201" s="3"/>
    </row>
    <row r="202" spans="1:16">
      <c r="A202" s="6" t="s">
        <v>695</v>
      </c>
      <c r="B202" s="6" t="s">
        <v>993</v>
      </c>
      <c r="C202" s="6" t="s">
        <v>1188</v>
      </c>
      <c r="D202" s="6"/>
      <c r="E202" s="6"/>
      <c r="F202" s="6"/>
      <c r="G202" s="6"/>
      <c r="H202" s="6"/>
      <c r="I202" s="6"/>
      <c r="J202" s="6">
        <f>SUM(D202:I202)</f>
        <v>0</v>
      </c>
      <c r="L202" s="6" t="s">
        <v>3</v>
      </c>
      <c r="M202" s="7">
        <f>SUM(D202:D209)</f>
        <v>918</v>
      </c>
      <c r="O202" s="8" t="str">
        <f>A202</f>
        <v>Concordia</v>
      </c>
      <c r="P202" s="7">
        <f>SUM(M202:M207)</f>
        <v>5746</v>
      </c>
    </row>
    <row r="203" spans="1:16">
      <c r="A203" s="6" t="s">
        <v>695</v>
      </c>
      <c r="B203" s="6" t="s">
        <v>1189</v>
      </c>
      <c r="C203" s="6" t="s">
        <v>1190</v>
      </c>
      <c r="D203" s="6"/>
      <c r="E203" s="6"/>
      <c r="F203" s="6"/>
      <c r="G203" s="6"/>
      <c r="H203" s="6"/>
      <c r="I203" s="6"/>
      <c r="J203" s="6">
        <f t="shared" ref="J203:J209" si="25">SUM(D203:I203)</f>
        <v>0</v>
      </c>
      <c r="L203" s="6" t="s">
        <v>4</v>
      </c>
      <c r="M203" s="7">
        <f>SUM(E202:E209)</f>
        <v>938</v>
      </c>
      <c r="O203" s="8"/>
      <c r="P203" s="7"/>
    </row>
    <row r="204" spans="1:16">
      <c r="A204" s="6" t="s">
        <v>695</v>
      </c>
      <c r="B204" s="6" t="s">
        <v>907</v>
      </c>
      <c r="C204" s="6" t="s">
        <v>623</v>
      </c>
      <c r="D204" s="6">
        <v>170</v>
      </c>
      <c r="E204" s="6">
        <v>165</v>
      </c>
      <c r="F204" s="6">
        <v>196</v>
      </c>
      <c r="G204" s="6">
        <v>222</v>
      </c>
      <c r="H204" s="6">
        <v>214</v>
      </c>
      <c r="I204" s="6">
        <v>267</v>
      </c>
      <c r="J204" s="6">
        <f t="shared" si="25"/>
        <v>1234</v>
      </c>
      <c r="L204" s="6" t="s">
        <v>5</v>
      </c>
      <c r="M204" s="7">
        <f>SUM(F202:F209)</f>
        <v>935</v>
      </c>
      <c r="O204" s="8"/>
      <c r="P204" s="7"/>
    </row>
    <row r="205" spans="1:16">
      <c r="A205" s="6" t="s">
        <v>695</v>
      </c>
      <c r="B205" s="6" t="s">
        <v>1191</v>
      </c>
      <c r="C205" s="6" t="s">
        <v>1192</v>
      </c>
      <c r="D205" s="6"/>
      <c r="E205" s="6"/>
      <c r="F205" s="6"/>
      <c r="G205" s="6"/>
      <c r="H205" s="6"/>
      <c r="I205" s="6"/>
      <c r="J205" s="6">
        <f t="shared" si="25"/>
        <v>0</v>
      </c>
      <c r="L205" s="6" t="s">
        <v>6</v>
      </c>
      <c r="M205" s="7">
        <f>SUM(G202:G209)</f>
        <v>997</v>
      </c>
      <c r="O205" s="8"/>
      <c r="P205" s="7"/>
    </row>
    <row r="206" spans="1:16">
      <c r="A206" s="6" t="s">
        <v>695</v>
      </c>
      <c r="B206" s="6" t="s">
        <v>19</v>
      </c>
      <c r="C206" s="6" t="s">
        <v>1193</v>
      </c>
      <c r="D206" s="6">
        <v>164</v>
      </c>
      <c r="E206" s="6">
        <v>179</v>
      </c>
      <c r="F206" s="6">
        <v>169</v>
      </c>
      <c r="G206" s="6">
        <v>231</v>
      </c>
      <c r="H206" s="6">
        <v>179</v>
      </c>
      <c r="I206" s="6">
        <v>163</v>
      </c>
      <c r="J206" s="6">
        <f t="shared" si="25"/>
        <v>1085</v>
      </c>
      <c r="L206" s="6" t="s">
        <v>7</v>
      </c>
      <c r="M206" s="7">
        <f>SUM(H202:H209)</f>
        <v>992</v>
      </c>
      <c r="O206" s="8"/>
      <c r="P206" s="7"/>
    </row>
    <row r="207" spans="1:16">
      <c r="A207" s="6" t="s">
        <v>695</v>
      </c>
      <c r="B207" s="6" t="s">
        <v>1194</v>
      </c>
      <c r="C207" s="6" t="s">
        <v>1195</v>
      </c>
      <c r="D207" s="6">
        <v>197</v>
      </c>
      <c r="E207" s="6">
        <v>207</v>
      </c>
      <c r="F207" s="6">
        <v>167</v>
      </c>
      <c r="G207" s="6">
        <v>236</v>
      </c>
      <c r="H207" s="6">
        <v>213</v>
      </c>
      <c r="I207" s="6">
        <v>174</v>
      </c>
      <c r="J207" s="6">
        <f t="shared" si="25"/>
        <v>1194</v>
      </c>
      <c r="L207" s="6" t="s">
        <v>8</v>
      </c>
      <c r="M207" s="7">
        <f>SUM(I202:I209)</f>
        <v>966</v>
      </c>
      <c r="O207" s="8"/>
      <c r="P207" s="7"/>
    </row>
    <row r="208" spans="1:16">
      <c r="A208" s="6" t="s">
        <v>695</v>
      </c>
      <c r="B208" s="6" t="s">
        <v>1047</v>
      </c>
      <c r="C208" s="6" t="s">
        <v>1196</v>
      </c>
      <c r="D208" s="6">
        <v>199</v>
      </c>
      <c r="E208" s="6">
        <v>158</v>
      </c>
      <c r="F208" s="6">
        <v>199</v>
      </c>
      <c r="G208" s="6">
        <v>144</v>
      </c>
      <c r="H208" s="6">
        <v>180</v>
      </c>
      <c r="I208" s="6">
        <v>183</v>
      </c>
      <c r="J208" s="6">
        <f t="shared" si="25"/>
        <v>1063</v>
      </c>
      <c r="L208" s="6"/>
      <c r="M208" s="7"/>
      <c r="O208" s="8"/>
      <c r="P208" s="7"/>
    </row>
    <row r="209" spans="1:16">
      <c r="A209" s="6" t="s">
        <v>695</v>
      </c>
      <c r="B209" s="6" t="s">
        <v>1197</v>
      </c>
      <c r="C209" s="6" t="s">
        <v>1198</v>
      </c>
      <c r="D209" s="6">
        <v>188</v>
      </c>
      <c r="E209" s="6">
        <v>229</v>
      </c>
      <c r="F209" s="6">
        <v>204</v>
      </c>
      <c r="G209" s="6">
        <v>164</v>
      </c>
      <c r="H209" s="6">
        <v>206</v>
      </c>
      <c r="I209" s="6">
        <v>179</v>
      </c>
      <c r="J209" s="6">
        <f t="shared" si="25"/>
        <v>1170</v>
      </c>
      <c r="L209" s="6"/>
      <c r="M209" s="7"/>
      <c r="O209" s="8"/>
      <c r="P209" s="7"/>
    </row>
    <row r="210" spans="1:16">
      <c r="A210" s="2" t="s">
        <v>1199</v>
      </c>
      <c r="B210" s="2" t="s">
        <v>1038</v>
      </c>
      <c r="C210" s="2" t="s">
        <v>1200</v>
      </c>
      <c r="D210" s="2">
        <v>208</v>
      </c>
      <c r="E210" s="2">
        <v>183</v>
      </c>
      <c r="F210" s="2">
        <v>180</v>
      </c>
      <c r="G210" s="2">
        <v>143</v>
      </c>
      <c r="H210" s="2">
        <v>172</v>
      </c>
      <c r="I210" s="2">
        <v>163</v>
      </c>
      <c r="J210" s="3">
        <f>SUM(D210:I210)</f>
        <v>1049</v>
      </c>
      <c r="L210" s="2" t="s">
        <v>3</v>
      </c>
      <c r="M210" s="3">
        <f>SUM(D210:D217)</f>
        <v>814</v>
      </c>
      <c r="O210" s="4" t="str">
        <f>A210</f>
        <v>Huntington</v>
      </c>
      <c r="P210" s="3">
        <f>SUM(M210:M215)</f>
        <v>5179</v>
      </c>
    </row>
    <row r="211" spans="1:16">
      <c r="A211" s="2" t="s">
        <v>1199</v>
      </c>
      <c r="B211" s="2" t="s">
        <v>1175</v>
      </c>
      <c r="C211" s="2" t="s">
        <v>1201</v>
      </c>
      <c r="D211" s="2">
        <v>172</v>
      </c>
      <c r="E211" s="2">
        <v>171</v>
      </c>
      <c r="F211" s="2">
        <v>228</v>
      </c>
      <c r="G211" s="2">
        <v>181</v>
      </c>
      <c r="H211" s="2">
        <v>210</v>
      </c>
      <c r="I211" s="2">
        <v>241</v>
      </c>
      <c r="J211" s="3">
        <f t="shared" ref="J211:J217" si="26">SUM(D211:I211)</f>
        <v>1203</v>
      </c>
      <c r="L211" s="2" t="s">
        <v>4</v>
      </c>
      <c r="M211" s="3">
        <f>SUM(E210:E217)</f>
        <v>889</v>
      </c>
      <c r="O211" s="4"/>
      <c r="P211" s="3"/>
    </row>
    <row r="212" spans="1:16">
      <c r="A212" s="2" t="s">
        <v>1199</v>
      </c>
      <c r="B212" s="2" t="s">
        <v>1175</v>
      </c>
      <c r="C212" s="2" t="s">
        <v>1202</v>
      </c>
      <c r="D212" s="2">
        <v>144</v>
      </c>
      <c r="E212" s="2">
        <v>217</v>
      </c>
      <c r="F212" s="2">
        <v>143</v>
      </c>
      <c r="G212" s="2">
        <v>152</v>
      </c>
      <c r="H212" s="2">
        <v>176</v>
      </c>
      <c r="I212" s="2">
        <v>140</v>
      </c>
      <c r="J212" s="3">
        <f t="shared" si="26"/>
        <v>972</v>
      </c>
      <c r="L212" s="2" t="s">
        <v>5</v>
      </c>
      <c r="M212" s="3">
        <f>SUM(F210:F217)</f>
        <v>837</v>
      </c>
      <c r="O212" s="4"/>
      <c r="P212" s="3"/>
    </row>
    <row r="213" spans="1:16">
      <c r="A213" s="2" t="s">
        <v>1199</v>
      </c>
      <c r="B213" s="2" t="s">
        <v>1203</v>
      </c>
      <c r="C213" s="2" t="s">
        <v>948</v>
      </c>
      <c r="D213" s="2">
        <v>158</v>
      </c>
      <c r="E213" s="2">
        <v>170</v>
      </c>
      <c r="F213" s="2">
        <v>167</v>
      </c>
      <c r="G213" s="2">
        <v>187</v>
      </c>
      <c r="H213" s="2">
        <v>210</v>
      </c>
      <c r="I213" s="2">
        <v>190</v>
      </c>
      <c r="J213" s="3">
        <f t="shared" si="26"/>
        <v>1082</v>
      </c>
      <c r="L213" s="2" t="s">
        <v>6</v>
      </c>
      <c r="M213" s="3">
        <f>SUM(G210:G217)</f>
        <v>802</v>
      </c>
      <c r="O213" s="4"/>
      <c r="P213" s="3"/>
    </row>
    <row r="214" spans="1:16">
      <c r="A214" s="2" t="s">
        <v>1199</v>
      </c>
      <c r="B214" s="2" t="s">
        <v>1204</v>
      </c>
      <c r="C214" s="2" t="s">
        <v>1205</v>
      </c>
      <c r="D214" s="2">
        <v>132</v>
      </c>
      <c r="E214" s="2">
        <v>148</v>
      </c>
      <c r="F214" s="2"/>
      <c r="G214" s="2">
        <v>139</v>
      </c>
      <c r="H214" s="2">
        <v>159</v>
      </c>
      <c r="I214" s="2">
        <v>176</v>
      </c>
      <c r="J214" s="3">
        <f t="shared" si="26"/>
        <v>754</v>
      </c>
      <c r="L214" s="2" t="s">
        <v>7</v>
      </c>
      <c r="M214" s="3">
        <f>SUM(H210:H217)</f>
        <v>927</v>
      </c>
      <c r="O214" s="4"/>
      <c r="P214" s="3"/>
    </row>
    <row r="215" spans="1:16">
      <c r="A215" s="2" t="s">
        <v>1199</v>
      </c>
      <c r="B215" s="2" t="s">
        <v>1206</v>
      </c>
      <c r="C215" s="2" t="s">
        <v>1207</v>
      </c>
      <c r="D215" s="2"/>
      <c r="E215" s="2"/>
      <c r="F215" s="2"/>
      <c r="G215" s="2"/>
      <c r="H215" s="2"/>
      <c r="I215" s="2"/>
      <c r="J215" s="3">
        <f t="shared" si="26"/>
        <v>0</v>
      </c>
      <c r="L215" s="2" t="s">
        <v>8</v>
      </c>
      <c r="M215" s="3">
        <f>SUM(I210:I217)</f>
        <v>910</v>
      </c>
      <c r="O215" s="4"/>
      <c r="P215" s="3"/>
    </row>
    <row r="216" spans="1:16">
      <c r="A216" s="2" t="s">
        <v>1199</v>
      </c>
      <c r="B216" s="2" t="s">
        <v>1208</v>
      </c>
      <c r="C216" s="2" t="s">
        <v>362</v>
      </c>
      <c r="D216" s="2"/>
      <c r="E216" s="2"/>
      <c r="F216" s="2"/>
      <c r="G216" s="2"/>
      <c r="H216" s="2"/>
      <c r="I216" s="2"/>
      <c r="J216" s="3">
        <f t="shared" si="26"/>
        <v>0</v>
      </c>
      <c r="L216" s="3"/>
      <c r="M216" s="3"/>
      <c r="O216" s="4"/>
      <c r="P216" s="3"/>
    </row>
    <row r="217" spans="1:16">
      <c r="A217" s="2" t="s">
        <v>1199</v>
      </c>
      <c r="B217" s="2" t="s">
        <v>378</v>
      </c>
      <c r="C217" s="2" t="s">
        <v>1209</v>
      </c>
      <c r="D217" s="2"/>
      <c r="E217" s="2"/>
      <c r="F217" s="2">
        <v>119</v>
      </c>
      <c r="G217" s="2"/>
      <c r="H217" s="2"/>
      <c r="I217" s="2"/>
      <c r="J217" s="3">
        <f t="shared" si="26"/>
        <v>119</v>
      </c>
      <c r="L217" s="2"/>
      <c r="M217" s="3"/>
      <c r="O217" s="4"/>
      <c r="P217" s="3"/>
    </row>
    <row r="218" spans="1:16">
      <c r="A218" s="6" t="s">
        <v>331</v>
      </c>
      <c r="B218" s="6" t="s">
        <v>897</v>
      </c>
      <c r="C218" s="6" t="s">
        <v>1210</v>
      </c>
      <c r="D218" s="6">
        <v>141</v>
      </c>
      <c r="E218" s="6">
        <v>181</v>
      </c>
      <c r="F218" s="6">
        <v>183</v>
      </c>
      <c r="G218" s="6">
        <v>230</v>
      </c>
      <c r="H218" s="6">
        <v>173</v>
      </c>
      <c r="I218" s="6">
        <v>210</v>
      </c>
      <c r="J218" s="6">
        <f>SUM(D218:I218)</f>
        <v>1118</v>
      </c>
      <c r="L218" s="6" t="s">
        <v>3</v>
      </c>
      <c r="M218" s="7">
        <f>SUM(D218:D225)</f>
        <v>855</v>
      </c>
      <c r="O218" s="8" t="str">
        <f>A218</f>
        <v>Lawrence Tech</v>
      </c>
      <c r="P218" s="7">
        <f>SUM(M218:M223)</f>
        <v>5534</v>
      </c>
    </row>
    <row r="219" spans="1:16">
      <c r="A219" s="6" t="s">
        <v>331</v>
      </c>
      <c r="B219" s="6" t="s">
        <v>1211</v>
      </c>
      <c r="C219" s="6" t="s">
        <v>1212</v>
      </c>
      <c r="D219" s="6">
        <v>189</v>
      </c>
      <c r="E219" s="6">
        <v>163</v>
      </c>
      <c r="F219" s="6">
        <v>166</v>
      </c>
      <c r="G219" s="6">
        <v>185</v>
      </c>
      <c r="H219" s="6">
        <v>164</v>
      </c>
      <c r="I219" s="6">
        <v>182</v>
      </c>
      <c r="J219" s="6">
        <f t="shared" ref="J219:J225" si="27">SUM(D219:I219)</f>
        <v>1049</v>
      </c>
      <c r="L219" s="6" t="s">
        <v>4</v>
      </c>
      <c r="M219" s="7">
        <f>SUM(E218:E225)</f>
        <v>907</v>
      </c>
      <c r="O219" s="8"/>
      <c r="P219" s="7"/>
    </row>
    <row r="220" spans="1:16">
      <c r="A220" s="6" t="s">
        <v>331</v>
      </c>
      <c r="B220" s="6" t="s">
        <v>1213</v>
      </c>
      <c r="C220" s="6" t="s">
        <v>1214</v>
      </c>
      <c r="D220" s="6">
        <v>215</v>
      </c>
      <c r="E220" s="6">
        <v>128</v>
      </c>
      <c r="F220" s="6">
        <v>205</v>
      </c>
      <c r="G220" s="6">
        <v>214</v>
      </c>
      <c r="H220" s="6">
        <v>198</v>
      </c>
      <c r="I220" s="6">
        <v>242</v>
      </c>
      <c r="J220" s="6">
        <f t="shared" si="27"/>
        <v>1202</v>
      </c>
      <c r="L220" s="6" t="s">
        <v>5</v>
      </c>
      <c r="M220" s="7">
        <f>SUM(F218:F225)</f>
        <v>899</v>
      </c>
      <c r="O220" s="8"/>
      <c r="P220" s="7"/>
    </row>
    <row r="221" spans="1:16">
      <c r="A221" s="6" t="s">
        <v>331</v>
      </c>
      <c r="B221" s="6" t="s">
        <v>901</v>
      </c>
      <c r="C221" s="6" t="s">
        <v>861</v>
      </c>
      <c r="D221" s="6"/>
      <c r="E221" s="6"/>
      <c r="F221" s="6"/>
      <c r="G221" s="6"/>
      <c r="H221" s="6"/>
      <c r="I221" s="6"/>
      <c r="J221" s="6">
        <f t="shared" si="27"/>
        <v>0</v>
      </c>
      <c r="L221" s="6" t="s">
        <v>6</v>
      </c>
      <c r="M221" s="7">
        <f>SUM(G218:G225)</f>
        <v>1018</v>
      </c>
      <c r="O221" s="8"/>
      <c r="P221" s="7"/>
    </row>
    <row r="222" spans="1:16">
      <c r="A222" s="6" t="s">
        <v>331</v>
      </c>
      <c r="B222" s="6" t="s">
        <v>929</v>
      </c>
      <c r="C222" s="6" t="s">
        <v>1215</v>
      </c>
      <c r="D222" s="6">
        <v>162</v>
      </c>
      <c r="E222" s="6">
        <v>244</v>
      </c>
      <c r="F222" s="6">
        <v>160</v>
      </c>
      <c r="G222" s="6">
        <v>166</v>
      </c>
      <c r="H222" s="6">
        <v>170</v>
      </c>
      <c r="I222" s="6">
        <v>170</v>
      </c>
      <c r="J222" s="6">
        <f t="shared" si="27"/>
        <v>1072</v>
      </c>
      <c r="L222" s="6" t="s">
        <v>7</v>
      </c>
      <c r="M222" s="7">
        <f>SUM(H218:H225)</f>
        <v>874</v>
      </c>
      <c r="O222" s="8"/>
      <c r="P222" s="7"/>
    </row>
    <row r="223" spans="1:16">
      <c r="A223" s="6" t="s">
        <v>331</v>
      </c>
      <c r="B223" s="6" t="s">
        <v>916</v>
      </c>
      <c r="C223" s="6" t="s">
        <v>1216</v>
      </c>
      <c r="D223" s="6">
        <v>148</v>
      </c>
      <c r="E223" s="6">
        <v>191</v>
      </c>
      <c r="F223" s="6">
        <v>185</v>
      </c>
      <c r="G223" s="6">
        <v>223</v>
      </c>
      <c r="H223" s="6">
        <v>169</v>
      </c>
      <c r="I223" s="6">
        <v>177</v>
      </c>
      <c r="J223" s="6">
        <f t="shared" si="27"/>
        <v>1093</v>
      </c>
      <c r="L223" s="6" t="s">
        <v>8</v>
      </c>
      <c r="M223" s="7">
        <f>SUM(I218:I225)</f>
        <v>981</v>
      </c>
      <c r="O223" s="8"/>
      <c r="P223" s="7"/>
    </row>
    <row r="224" spans="1:16">
      <c r="A224" s="6" t="s">
        <v>331</v>
      </c>
      <c r="B224" s="6"/>
      <c r="C224" s="6"/>
      <c r="D224" s="6"/>
      <c r="E224" s="6"/>
      <c r="F224" s="6"/>
      <c r="G224" s="6"/>
      <c r="H224" s="6"/>
      <c r="I224" s="6"/>
      <c r="J224" s="6">
        <f t="shared" si="27"/>
        <v>0</v>
      </c>
      <c r="L224" s="6"/>
      <c r="M224" s="7"/>
      <c r="O224" s="8"/>
      <c r="P224" s="7"/>
    </row>
    <row r="225" spans="1:16">
      <c r="A225" s="6" t="s">
        <v>331</v>
      </c>
      <c r="B225" s="6"/>
      <c r="C225" s="6"/>
      <c r="D225" s="6"/>
      <c r="E225" s="6"/>
      <c r="F225" s="6"/>
      <c r="G225" s="6"/>
      <c r="H225" s="6"/>
      <c r="I225" s="6"/>
      <c r="J225" s="6">
        <f t="shared" si="27"/>
        <v>0</v>
      </c>
      <c r="L225" s="6"/>
      <c r="M225" s="7"/>
      <c r="O225" s="8"/>
      <c r="P225" s="7"/>
    </row>
    <row r="226" spans="1:16">
      <c r="A226" s="2" t="s">
        <v>452</v>
      </c>
      <c r="B226" s="2" t="s">
        <v>1217</v>
      </c>
      <c r="C226" s="2" t="s">
        <v>427</v>
      </c>
      <c r="D226" s="2">
        <v>194</v>
      </c>
      <c r="E226" s="2">
        <v>158</v>
      </c>
      <c r="F226" s="2">
        <v>188</v>
      </c>
      <c r="G226" s="2">
        <v>237</v>
      </c>
      <c r="H226" s="2">
        <v>179</v>
      </c>
      <c r="I226" s="2">
        <v>232</v>
      </c>
      <c r="J226" s="3">
        <f>SUM(D226:I226)</f>
        <v>1188</v>
      </c>
      <c r="L226" s="2" t="s">
        <v>3</v>
      </c>
      <c r="M226" s="3">
        <f>SUM(D226:D233)</f>
        <v>917</v>
      </c>
      <c r="O226" s="4" t="str">
        <f>A226</f>
        <v>Robert Morris - Illinois</v>
      </c>
      <c r="P226" s="3">
        <f>SUM(M226:M231)</f>
        <v>5569</v>
      </c>
    </row>
    <row r="227" spans="1:16">
      <c r="A227" s="2" t="s">
        <v>452</v>
      </c>
      <c r="B227" s="2" t="s">
        <v>1218</v>
      </c>
      <c r="C227" s="2" t="s">
        <v>1219</v>
      </c>
      <c r="D227" s="2"/>
      <c r="E227" s="2">
        <v>168</v>
      </c>
      <c r="F227" s="2"/>
      <c r="G227" s="2"/>
      <c r="H227" s="2"/>
      <c r="I227" s="2"/>
      <c r="J227" s="3">
        <f t="shared" ref="J227:J233" si="28">SUM(D227:I227)</f>
        <v>168</v>
      </c>
      <c r="L227" s="2" t="s">
        <v>4</v>
      </c>
      <c r="M227" s="3">
        <f>SUM(E226:E233)</f>
        <v>788</v>
      </c>
      <c r="O227" s="4"/>
      <c r="P227" s="3"/>
    </row>
    <row r="228" spans="1:16">
      <c r="A228" s="2" t="s">
        <v>452</v>
      </c>
      <c r="B228" s="2" t="s">
        <v>1084</v>
      </c>
      <c r="C228" s="2" t="s">
        <v>1220</v>
      </c>
      <c r="D228" s="2">
        <v>172</v>
      </c>
      <c r="E228" s="2"/>
      <c r="F228" s="2">
        <v>192</v>
      </c>
      <c r="G228" s="2">
        <v>164</v>
      </c>
      <c r="H228" s="2">
        <v>193</v>
      </c>
      <c r="I228" s="2">
        <v>171</v>
      </c>
      <c r="J228" s="3">
        <f t="shared" si="28"/>
        <v>892</v>
      </c>
      <c r="L228" s="2" t="s">
        <v>5</v>
      </c>
      <c r="M228" s="3">
        <f>SUM(F226:F233)</f>
        <v>867</v>
      </c>
      <c r="O228" s="4"/>
      <c r="P228" s="3"/>
    </row>
    <row r="229" spans="1:16">
      <c r="A229" s="2" t="s">
        <v>452</v>
      </c>
      <c r="B229" s="2" t="s">
        <v>1221</v>
      </c>
      <c r="C229" s="2" t="s">
        <v>1222</v>
      </c>
      <c r="D229" s="2">
        <v>204</v>
      </c>
      <c r="E229" s="2">
        <v>149</v>
      </c>
      <c r="F229" s="2"/>
      <c r="G229" s="2">
        <v>198</v>
      </c>
      <c r="H229" s="2">
        <v>194</v>
      </c>
      <c r="I229" s="2">
        <v>177</v>
      </c>
      <c r="J229" s="3">
        <f t="shared" si="28"/>
        <v>922</v>
      </c>
      <c r="L229" s="2" t="s">
        <v>6</v>
      </c>
      <c r="M229" s="3">
        <f>SUM(G226:G233)</f>
        <v>1092</v>
      </c>
      <c r="O229" s="4"/>
      <c r="P229" s="3"/>
    </row>
    <row r="230" spans="1:16">
      <c r="A230" s="2" t="s">
        <v>452</v>
      </c>
      <c r="B230" s="2" t="s">
        <v>903</v>
      </c>
      <c r="C230" s="2" t="s">
        <v>1223</v>
      </c>
      <c r="D230" s="2"/>
      <c r="E230" s="2">
        <v>144</v>
      </c>
      <c r="F230" s="2">
        <v>174</v>
      </c>
      <c r="G230" s="2"/>
      <c r="H230" s="2"/>
      <c r="I230" s="2"/>
      <c r="J230" s="3">
        <f t="shared" si="28"/>
        <v>318</v>
      </c>
      <c r="L230" s="2" t="s">
        <v>7</v>
      </c>
      <c r="M230" s="3">
        <f>SUM(H226:H233)</f>
        <v>1014</v>
      </c>
      <c r="O230" s="4"/>
      <c r="P230" s="3"/>
    </row>
    <row r="231" spans="1:16">
      <c r="A231" s="2" t="s">
        <v>452</v>
      </c>
      <c r="B231" s="2" t="s">
        <v>88</v>
      </c>
      <c r="C231" s="2" t="s">
        <v>1224</v>
      </c>
      <c r="D231" s="2">
        <v>166</v>
      </c>
      <c r="E231" s="2"/>
      <c r="F231" s="2">
        <v>173</v>
      </c>
      <c r="G231" s="2">
        <v>235</v>
      </c>
      <c r="H231" s="2">
        <v>248</v>
      </c>
      <c r="I231" s="2">
        <v>137</v>
      </c>
      <c r="J231" s="3">
        <f t="shared" si="28"/>
        <v>959</v>
      </c>
      <c r="L231" s="2" t="s">
        <v>8</v>
      </c>
      <c r="M231" s="3">
        <f>SUM(I226:I233)</f>
        <v>891</v>
      </c>
      <c r="O231" s="4"/>
      <c r="P231" s="3"/>
    </row>
    <row r="232" spans="1:16">
      <c r="A232" s="2" t="s">
        <v>452</v>
      </c>
      <c r="B232" s="2" t="s">
        <v>1072</v>
      </c>
      <c r="C232" s="2" t="s">
        <v>1225</v>
      </c>
      <c r="D232" s="2">
        <v>181</v>
      </c>
      <c r="E232" s="2">
        <v>169</v>
      </c>
      <c r="F232" s="2">
        <v>140</v>
      </c>
      <c r="G232" s="2"/>
      <c r="H232" s="2"/>
      <c r="I232" s="2">
        <v>174</v>
      </c>
      <c r="J232" s="3">
        <f t="shared" si="28"/>
        <v>664</v>
      </c>
      <c r="L232" s="3"/>
      <c r="M232" s="3"/>
      <c r="O232" s="4"/>
      <c r="P232" s="3"/>
    </row>
    <row r="233" spans="1:16">
      <c r="A233" s="2" t="s">
        <v>452</v>
      </c>
      <c r="B233" s="2" t="s">
        <v>1226</v>
      </c>
      <c r="C233" s="2" t="s">
        <v>1227</v>
      </c>
      <c r="D233" s="2"/>
      <c r="E233" s="2"/>
      <c r="F233" s="2"/>
      <c r="G233" s="2">
        <v>258</v>
      </c>
      <c r="H233" s="2">
        <v>200</v>
      </c>
      <c r="I233" s="2"/>
      <c r="J233" s="3">
        <f t="shared" si="28"/>
        <v>458</v>
      </c>
      <c r="L233" s="2"/>
      <c r="M233" s="3"/>
      <c r="O233" s="4"/>
      <c r="P233" s="3"/>
    </row>
    <row r="234" spans="1:16">
      <c r="A234" s="6" t="s">
        <v>1228</v>
      </c>
      <c r="B234" s="6" t="s">
        <v>1175</v>
      </c>
      <c r="C234" s="6" t="s">
        <v>1229</v>
      </c>
      <c r="D234" s="6">
        <v>227</v>
      </c>
      <c r="E234" s="6">
        <v>210</v>
      </c>
      <c r="F234" s="6">
        <v>152</v>
      </c>
      <c r="G234" s="6">
        <v>177</v>
      </c>
      <c r="H234" s="6">
        <v>166</v>
      </c>
      <c r="I234" s="6">
        <v>232</v>
      </c>
      <c r="J234" s="6">
        <f>SUM(D234:I234)</f>
        <v>1164</v>
      </c>
      <c r="L234" s="6" t="s">
        <v>3</v>
      </c>
      <c r="M234" s="7">
        <f>SUM(D234:D241)</f>
        <v>891</v>
      </c>
      <c r="O234" s="8" t="str">
        <f>A234</f>
        <v xml:space="preserve">Alma </v>
      </c>
      <c r="P234" s="7">
        <f>SUM(M234:M239)</f>
        <v>5236</v>
      </c>
    </row>
    <row r="235" spans="1:16">
      <c r="A235" s="6" t="s">
        <v>1228</v>
      </c>
      <c r="B235" s="6" t="s">
        <v>1203</v>
      </c>
      <c r="C235" s="6" t="s">
        <v>1230</v>
      </c>
      <c r="D235" s="6"/>
      <c r="E235" s="6"/>
      <c r="F235" s="6"/>
      <c r="G235" s="6"/>
      <c r="H235" s="6"/>
      <c r="I235" s="6"/>
      <c r="J235" s="6">
        <f t="shared" ref="J235:J241" si="29">SUM(D235:I235)</f>
        <v>0</v>
      </c>
      <c r="L235" s="6" t="s">
        <v>4</v>
      </c>
      <c r="M235" s="7">
        <f>SUM(E234:E241)</f>
        <v>801</v>
      </c>
      <c r="O235" s="8"/>
      <c r="P235" s="7"/>
    </row>
    <row r="236" spans="1:16">
      <c r="A236" s="6" t="s">
        <v>1228</v>
      </c>
      <c r="B236" s="6" t="s">
        <v>979</v>
      </c>
      <c r="C236" s="6" t="s">
        <v>1023</v>
      </c>
      <c r="D236" s="6">
        <v>202</v>
      </c>
      <c r="E236" s="6">
        <v>125</v>
      </c>
      <c r="F236" s="6">
        <v>183</v>
      </c>
      <c r="G236" s="6">
        <v>201</v>
      </c>
      <c r="H236" s="6">
        <v>168</v>
      </c>
      <c r="I236" s="6">
        <v>191</v>
      </c>
      <c r="J236" s="6">
        <f t="shared" si="29"/>
        <v>1070</v>
      </c>
      <c r="L236" s="6" t="s">
        <v>5</v>
      </c>
      <c r="M236" s="7">
        <f>SUM(F234:F241)</f>
        <v>942</v>
      </c>
      <c r="O236" s="8"/>
      <c r="P236" s="7"/>
    </row>
    <row r="237" spans="1:16">
      <c r="A237" s="6" t="s">
        <v>1228</v>
      </c>
      <c r="B237" s="6" t="s">
        <v>1231</v>
      </c>
      <c r="C237" s="6" t="s">
        <v>1232</v>
      </c>
      <c r="D237" s="6"/>
      <c r="E237" s="6"/>
      <c r="F237" s="6"/>
      <c r="G237" s="6"/>
      <c r="H237" s="6">
        <v>134</v>
      </c>
      <c r="I237" s="6"/>
      <c r="J237" s="6">
        <f t="shared" si="29"/>
        <v>134</v>
      </c>
      <c r="L237" s="6" t="s">
        <v>6</v>
      </c>
      <c r="M237" s="7">
        <f>SUM(G234:G241)</f>
        <v>874</v>
      </c>
      <c r="O237" s="8"/>
      <c r="P237" s="7"/>
    </row>
    <row r="238" spans="1:16">
      <c r="A238" s="6" t="s">
        <v>1228</v>
      </c>
      <c r="B238" s="6" t="s">
        <v>1233</v>
      </c>
      <c r="C238" s="6" t="s">
        <v>1023</v>
      </c>
      <c r="D238" s="6">
        <v>177</v>
      </c>
      <c r="E238" s="6">
        <v>156</v>
      </c>
      <c r="F238" s="6"/>
      <c r="G238" s="6"/>
      <c r="H238" s="6">
        <v>168</v>
      </c>
      <c r="I238" s="6">
        <v>172</v>
      </c>
      <c r="J238" s="6">
        <f t="shared" si="29"/>
        <v>673</v>
      </c>
      <c r="L238" s="6" t="s">
        <v>7</v>
      </c>
      <c r="M238" s="7">
        <f>SUM(H234:H241)</f>
        <v>781</v>
      </c>
      <c r="O238" s="8"/>
      <c r="P238" s="7"/>
    </row>
    <row r="239" spans="1:16">
      <c r="A239" s="6" t="s">
        <v>1228</v>
      </c>
      <c r="B239" s="6" t="s">
        <v>1234</v>
      </c>
      <c r="C239" s="6" t="s">
        <v>935</v>
      </c>
      <c r="D239" s="6">
        <v>150</v>
      </c>
      <c r="E239" s="6">
        <v>140</v>
      </c>
      <c r="F239" s="6">
        <v>244</v>
      </c>
      <c r="G239" s="6">
        <v>146</v>
      </c>
      <c r="H239" s="6"/>
      <c r="I239" s="6">
        <v>174</v>
      </c>
      <c r="J239" s="6">
        <f t="shared" si="29"/>
        <v>854</v>
      </c>
      <c r="L239" s="6" t="s">
        <v>8</v>
      </c>
      <c r="M239" s="7">
        <f>SUM(I234:I241)</f>
        <v>947</v>
      </c>
      <c r="O239" s="8"/>
      <c r="P239" s="7"/>
    </row>
    <row r="240" spans="1:16">
      <c r="A240" s="6" t="s">
        <v>1228</v>
      </c>
      <c r="B240" s="6" t="s">
        <v>1047</v>
      </c>
      <c r="C240" s="6" t="s">
        <v>1235</v>
      </c>
      <c r="D240" s="6">
        <v>135</v>
      </c>
      <c r="E240" s="6">
        <v>170</v>
      </c>
      <c r="F240" s="6">
        <v>209</v>
      </c>
      <c r="G240" s="6">
        <v>169</v>
      </c>
      <c r="H240" s="6"/>
      <c r="I240" s="6">
        <v>178</v>
      </c>
      <c r="J240" s="6">
        <f t="shared" si="29"/>
        <v>861</v>
      </c>
      <c r="L240" s="6"/>
      <c r="M240" s="7"/>
      <c r="O240" s="8"/>
      <c r="P240" s="7"/>
    </row>
    <row r="241" spans="1:16">
      <c r="A241" s="6" t="s">
        <v>1228</v>
      </c>
      <c r="B241" s="6" t="s">
        <v>916</v>
      </c>
      <c r="C241" s="6" t="s">
        <v>284</v>
      </c>
      <c r="D241" s="6"/>
      <c r="E241" s="6"/>
      <c r="F241" s="6">
        <v>154</v>
      </c>
      <c r="G241" s="6">
        <v>181</v>
      </c>
      <c r="H241" s="6">
        <v>145</v>
      </c>
      <c r="I241" s="6"/>
      <c r="J241" s="6">
        <f t="shared" si="29"/>
        <v>480</v>
      </c>
      <c r="L241" s="6"/>
      <c r="M241" s="7"/>
      <c r="O241" s="8"/>
      <c r="P241" s="7"/>
    </row>
    <row r="242" spans="1:16">
      <c r="A242" s="2" t="s">
        <v>626</v>
      </c>
      <c r="B242" s="2" t="s">
        <v>1236</v>
      </c>
      <c r="C242" s="2" t="s">
        <v>1237</v>
      </c>
      <c r="D242" s="2">
        <v>170</v>
      </c>
      <c r="E242" s="2">
        <v>166</v>
      </c>
      <c r="F242" s="2">
        <v>181</v>
      </c>
      <c r="G242" s="2">
        <v>194</v>
      </c>
      <c r="H242" s="2">
        <v>203</v>
      </c>
      <c r="I242" s="2">
        <v>177</v>
      </c>
      <c r="J242" s="3">
        <f>SUM(D242:I242)</f>
        <v>1091</v>
      </c>
      <c r="L242" s="2" t="s">
        <v>3</v>
      </c>
      <c r="M242" s="3">
        <f>SUM(D242:D249)</f>
        <v>944</v>
      </c>
      <c r="O242" s="4" t="str">
        <f>A242</f>
        <v>Grand View</v>
      </c>
      <c r="P242" s="3">
        <f>SUM(M242:M247)</f>
        <v>5527</v>
      </c>
    </row>
    <row r="243" spans="1:16">
      <c r="A243" s="2" t="s">
        <v>626</v>
      </c>
      <c r="B243" s="2" t="s">
        <v>897</v>
      </c>
      <c r="C243" s="2" t="s">
        <v>1238</v>
      </c>
      <c r="D243" s="2">
        <v>216</v>
      </c>
      <c r="E243" s="2">
        <v>191</v>
      </c>
      <c r="F243" s="2">
        <v>140</v>
      </c>
      <c r="G243" s="2">
        <v>185</v>
      </c>
      <c r="H243" s="2">
        <v>206</v>
      </c>
      <c r="I243" s="2">
        <v>172</v>
      </c>
      <c r="J243" s="3">
        <f t="shared" ref="J243:J249" si="30">SUM(D243:I243)</f>
        <v>1110</v>
      </c>
      <c r="L243" s="2" t="s">
        <v>4</v>
      </c>
      <c r="M243" s="3">
        <f>SUM(E242:E249)</f>
        <v>863</v>
      </c>
      <c r="O243" s="4"/>
      <c r="P243" s="3"/>
    </row>
    <row r="244" spans="1:16">
      <c r="A244" s="2" t="s">
        <v>626</v>
      </c>
      <c r="B244" s="2" t="s">
        <v>907</v>
      </c>
      <c r="C244" s="2" t="s">
        <v>1239</v>
      </c>
      <c r="D244" s="2"/>
      <c r="E244" s="2"/>
      <c r="F244" s="2"/>
      <c r="G244" s="2"/>
      <c r="H244" s="2"/>
      <c r="I244" s="2"/>
      <c r="J244" s="3">
        <f t="shared" si="30"/>
        <v>0</v>
      </c>
      <c r="L244" s="2" t="s">
        <v>5</v>
      </c>
      <c r="M244" s="3">
        <f>SUM(F242:F249)</f>
        <v>839</v>
      </c>
      <c r="O244" s="4"/>
      <c r="P244" s="3"/>
    </row>
    <row r="245" spans="1:16">
      <c r="A245" s="2" t="s">
        <v>626</v>
      </c>
      <c r="B245" s="2" t="s">
        <v>1240</v>
      </c>
      <c r="C245" s="2" t="s">
        <v>1241</v>
      </c>
      <c r="D245" s="2">
        <v>200</v>
      </c>
      <c r="E245" s="2">
        <v>161</v>
      </c>
      <c r="F245" s="2">
        <v>146</v>
      </c>
      <c r="G245" s="2">
        <v>143</v>
      </c>
      <c r="H245" s="2"/>
      <c r="I245" s="2"/>
      <c r="J245" s="3">
        <f t="shared" si="30"/>
        <v>650</v>
      </c>
      <c r="L245" s="2" t="s">
        <v>6</v>
      </c>
      <c r="M245" s="3">
        <f>SUM(G242:G249)</f>
        <v>864</v>
      </c>
      <c r="O245" s="4"/>
      <c r="P245" s="3"/>
    </row>
    <row r="246" spans="1:16">
      <c r="A246" s="2" t="s">
        <v>626</v>
      </c>
      <c r="B246" s="2" t="s">
        <v>1242</v>
      </c>
      <c r="C246" s="2" t="s">
        <v>1243</v>
      </c>
      <c r="D246" s="2">
        <v>157</v>
      </c>
      <c r="E246" s="2">
        <v>157</v>
      </c>
      <c r="F246" s="2">
        <v>184</v>
      </c>
      <c r="G246" s="2">
        <v>175</v>
      </c>
      <c r="H246" s="2">
        <v>175</v>
      </c>
      <c r="I246" s="2">
        <v>196</v>
      </c>
      <c r="J246" s="3">
        <f t="shared" si="30"/>
        <v>1044</v>
      </c>
      <c r="L246" s="2" t="s">
        <v>7</v>
      </c>
      <c r="M246" s="3">
        <f>SUM(H242:H249)</f>
        <v>1070</v>
      </c>
      <c r="O246" s="4"/>
      <c r="P246" s="3"/>
    </row>
    <row r="247" spans="1:16">
      <c r="A247" s="2" t="s">
        <v>626</v>
      </c>
      <c r="B247" s="2" t="s">
        <v>929</v>
      </c>
      <c r="C247" s="2" t="s">
        <v>1244</v>
      </c>
      <c r="D247" s="2"/>
      <c r="E247" s="2"/>
      <c r="F247" s="2"/>
      <c r="G247" s="2"/>
      <c r="H247" s="2">
        <v>231</v>
      </c>
      <c r="I247" s="2">
        <v>159</v>
      </c>
      <c r="J247" s="3">
        <f t="shared" si="30"/>
        <v>390</v>
      </c>
      <c r="L247" s="2" t="s">
        <v>8</v>
      </c>
      <c r="M247" s="3">
        <f>SUM(I242:I249)</f>
        <v>947</v>
      </c>
      <c r="O247" s="4"/>
      <c r="P247" s="3"/>
    </row>
    <row r="248" spans="1:16">
      <c r="A248" s="2" t="s">
        <v>626</v>
      </c>
      <c r="B248" s="2" t="s">
        <v>1245</v>
      </c>
      <c r="C248" s="2" t="s">
        <v>1246</v>
      </c>
      <c r="D248" s="2">
        <v>201</v>
      </c>
      <c r="E248" s="2">
        <v>188</v>
      </c>
      <c r="F248" s="2">
        <v>188</v>
      </c>
      <c r="G248" s="2">
        <v>167</v>
      </c>
      <c r="H248" s="2">
        <v>255</v>
      </c>
      <c r="I248" s="2">
        <v>243</v>
      </c>
      <c r="J248" s="3">
        <f t="shared" si="30"/>
        <v>1242</v>
      </c>
      <c r="L248" s="3"/>
      <c r="M248" s="3"/>
      <c r="O248" s="4"/>
      <c r="P248" s="3"/>
    </row>
    <row r="249" spans="1:16">
      <c r="A249" s="2" t="s">
        <v>626</v>
      </c>
      <c r="B249" s="2" t="s">
        <v>1247</v>
      </c>
      <c r="C249" s="2" t="s">
        <v>1248</v>
      </c>
      <c r="D249" s="2"/>
      <c r="E249" s="2"/>
      <c r="F249" s="2"/>
      <c r="G249" s="2"/>
      <c r="H249" s="2"/>
      <c r="I249" s="2"/>
      <c r="J249" s="3">
        <f t="shared" si="30"/>
        <v>0</v>
      </c>
      <c r="L249" s="2"/>
      <c r="M249" s="3"/>
      <c r="O249" s="4"/>
      <c r="P249" s="3"/>
    </row>
    <row r="250" spans="1:16">
      <c r="A250" s="6" t="s">
        <v>113</v>
      </c>
      <c r="B250" s="6" t="s">
        <v>1249</v>
      </c>
      <c r="C250" s="6" t="s">
        <v>1250</v>
      </c>
      <c r="D250" s="6">
        <v>160</v>
      </c>
      <c r="E250" s="6">
        <v>185</v>
      </c>
      <c r="F250" s="6">
        <v>179</v>
      </c>
      <c r="G250" s="6">
        <v>138</v>
      </c>
      <c r="H250" s="6">
        <v>172</v>
      </c>
      <c r="I250" s="6">
        <v>167</v>
      </c>
      <c r="J250" s="6">
        <f>SUM(D250:I250)</f>
        <v>1001</v>
      </c>
      <c r="L250" s="6" t="s">
        <v>3</v>
      </c>
      <c r="M250" s="7">
        <f>SUM(D250:D257)</f>
        <v>826</v>
      </c>
      <c r="O250" s="8" t="str">
        <f>A250</f>
        <v>Bethel</v>
      </c>
      <c r="P250" s="7">
        <f>SUM(M250:M255)</f>
        <v>5074</v>
      </c>
    </row>
    <row r="251" spans="1:16">
      <c r="A251" s="6" t="s">
        <v>113</v>
      </c>
      <c r="B251" s="6" t="s">
        <v>1251</v>
      </c>
      <c r="C251" s="6" t="s">
        <v>1252</v>
      </c>
      <c r="D251" s="6"/>
      <c r="E251" s="6"/>
      <c r="F251" s="6"/>
      <c r="G251" s="6"/>
      <c r="H251" s="6"/>
      <c r="I251" s="6"/>
      <c r="J251" s="6">
        <f t="shared" ref="J251:J257" si="31">SUM(D251:I251)</f>
        <v>0</v>
      </c>
      <c r="L251" s="6" t="s">
        <v>4</v>
      </c>
      <c r="M251" s="7">
        <f>SUM(E250:E257)</f>
        <v>865</v>
      </c>
      <c r="O251" s="8"/>
      <c r="P251" s="7"/>
    </row>
    <row r="252" spans="1:16">
      <c r="A252" s="6" t="s">
        <v>113</v>
      </c>
      <c r="B252" s="6" t="s">
        <v>1253</v>
      </c>
      <c r="C252" s="6" t="s">
        <v>1254</v>
      </c>
      <c r="D252" s="6">
        <v>125</v>
      </c>
      <c r="E252" s="6">
        <v>166</v>
      </c>
      <c r="F252" s="6">
        <v>130</v>
      </c>
      <c r="G252" s="6">
        <v>136</v>
      </c>
      <c r="H252" s="6">
        <v>164</v>
      </c>
      <c r="I252" s="6">
        <v>137</v>
      </c>
      <c r="J252" s="6">
        <f t="shared" si="31"/>
        <v>858</v>
      </c>
      <c r="L252" s="6" t="s">
        <v>5</v>
      </c>
      <c r="M252" s="7">
        <f>SUM(F250:F257)</f>
        <v>938</v>
      </c>
      <c r="O252" s="8"/>
      <c r="P252" s="7"/>
    </row>
    <row r="253" spans="1:16">
      <c r="A253" s="6" t="s">
        <v>113</v>
      </c>
      <c r="B253" s="6" t="s">
        <v>1255</v>
      </c>
      <c r="C253" s="6" t="s">
        <v>1256</v>
      </c>
      <c r="D253" s="6">
        <v>211</v>
      </c>
      <c r="E253" s="6">
        <v>185</v>
      </c>
      <c r="F253" s="6">
        <v>189</v>
      </c>
      <c r="G253" s="6">
        <v>181</v>
      </c>
      <c r="H253" s="6">
        <v>196</v>
      </c>
      <c r="I253" s="6">
        <v>156</v>
      </c>
      <c r="J253" s="6">
        <f t="shared" si="31"/>
        <v>1118</v>
      </c>
      <c r="L253" s="6" t="s">
        <v>6</v>
      </c>
      <c r="M253" s="7">
        <f>SUM(G250:G257)</f>
        <v>763</v>
      </c>
      <c r="O253" s="8"/>
      <c r="P253" s="7"/>
    </row>
    <row r="254" spans="1:16">
      <c r="A254" s="6" t="s">
        <v>113</v>
      </c>
      <c r="B254" s="6" t="s">
        <v>1257</v>
      </c>
      <c r="C254" s="6" t="s">
        <v>1258</v>
      </c>
      <c r="D254" s="6">
        <v>125</v>
      </c>
      <c r="E254" s="6">
        <v>164</v>
      </c>
      <c r="F254" s="6">
        <v>173</v>
      </c>
      <c r="G254" s="6">
        <v>162</v>
      </c>
      <c r="H254" s="6">
        <v>145</v>
      </c>
      <c r="I254" s="6">
        <v>161</v>
      </c>
      <c r="J254" s="6">
        <f t="shared" si="31"/>
        <v>930</v>
      </c>
      <c r="L254" s="6" t="s">
        <v>7</v>
      </c>
      <c r="M254" s="7">
        <f>SUM(H250:H257)</f>
        <v>853</v>
      </c>
      <c r="O254" s="8"/>
      <c r="P254" s="7"/>
    </row>
    <row r="255" spans="1:16">
      <c r="A255" s="6" t="s">
        <v>113</v>
      </c>
      <c r="B255" s="6" t="s">
        <v>1259</v>
      </c>
      <c r="C255" s="6" t="s">
        <v>1023</v>
      </c>
      <c r="D255" s="6">
        <v>205</v>
      </c>
      <c r="E255" s="6">
        <v>165</v>
      </c>
      <c r="F255" s="6">
        <v>267</v>
      </c>
      <c r="G255" s="6">
        <v>146</v>
      </c>
      <c r="H255" s="6">
        <v>176</v>
      </c>
      <c r="I255" s="6">
        <v>208</v>
      </c>
      <c r="J255" s="6">
        <f t="shared" si="31"/>
        <v>1167</v>
      </c>
      <c r="L255" s="6" t="s">
        <v>8</v>
      </c>
      <c r="M255" s="7">
        <f>SUM(I250:I257)</f>
        <v>829</v>
      </c>
      <c r="O255" s="8"/>
      <c r="P255" s="7"/>
    </row>
    <row r="256" spans="1:16">
      <c r="A256" s="6" t="s">
        <v>113</v>
      </c>
      <c r="B256" s="6"/>
      <c r="C256" s="6"/>
      <c r="D256" s="6"/>
      <c r="E256" s="6"/>
      <c r="F256" s="6"/>
      <c r="G256" s="6"/>
      <c r="H256" s="6"/>
      <c r="I256" s="6"/>
      <c r="J256" s="6">
        <f t="shared" si="31"/>
        <v>0</v>
      </c>
      <c r="L256" s="6"/>
      <c r="M256" s="7"/>
      <c r="O256" s="8"/>
      <c r="P256" s="7"/>
    </row>
    <row r="257" spans="1:16">
      <c r="A257" s="6" t="s">
        <v>113</v>
      </c>
      <c r="B257" s="6"/>
      <c r="C257" s="6"/>
      <c r="D257" s="6"/>
      <c r="E257" s="6"/>
      <c r="F257" s="6"/>
      <c r="G257" s="6"/>
      <c r="H257" s="6"/>
      <c r="I257" s="6"/>
      <c r="J257" s="6">
        <f t="shared" si="31"/>
        <v>0</v>
      </c>
      <c r="L257" s="6"/>
      <c r="M257" s="7"/>
      <c r="O257" s="8"/>
      <c r="P257" s="7"/>
    </row>
    <row r="258" spans="1:16">
      <c r="A258" s="2" t="s">
        <v>703</v>
      </c>
      <c r="B258" s="2" t="s">
        <v>1260</v>
      </c>
      <c r="C258" s="2" t="s">
        <v>1261</v>
      </c>
      <c r="D258" s="2">
        <v>149</v>
      </c>
      <c r="E258" s="2">
        <v>122</v>
      </c>
      <c r="F258" s="2">
        <v>181</v>
      </c>
      <c r="G258" s="2">
        <v>145</v>
      </c>
      <c r="H258" s="2">
        <v>196</v>
      </c>
      <c r="I258" s="2">
        <v>174</v>
      </c>
      <c r="J258" s="3">
        <f>SUM(D258:I258)</f>
        <v>967</v>
      </c>
      <c r="L258" s="2" t="s">
        <v>3</v>
      </c>
      <c r="M258" s="3">
        <f>SUM(D258:D265)</f>
        <v>817</v>
      </c>
      <c r="O258" s="4" t="str">
        <f>A258</f>
        <v>Missouri Baptist</v>
      </c>
      <c r="P258" s="3">
        <f>SUM(M258:M263)</f>
        <v>5131</v>
      </c>
    </row>
    <row r="259" spans="1:16">
      <c r="A259" s="2" t="s">
        <v>703</v>
      </c>
      <c r="B259" s="2" t="s">
        <v>1262</v>
      </c>
      <c r="C259" s="2" t="s">
        <v>119</v>
      </c>
      <c r="D259" s="2">
        <v>155</v>
      </c>
      <c r="E259" s="2">
        <v>165</v>
      </c>
      <c r="F259" s="2">
        <v>208</v>
      </c>
      <c r="G259" s="2">
        <v>119</v>
      </c>
      <c r="H259" s="2">
        <v>191</v>
      </c>
      <c r="I259" s="2">
        <v>151</v>
      </c>
      <c r="J259" s="3">
        <f t="shared" ref="J259:J265" si="32">SUM(D259:I259)</f>
        <v>989</v>
      </c>
      <c r="L259" s="2" t="s">
        <v>4</v>
      </c>
      <c r="M259" s="3">
        <f>SUM(E258:E265)</f>
        <v>856</v>
      </c>
      <c r="O259" s="4"/>
      <c r="P259" s="3"/>
    </row>
    <row r="260" spans="1:16">
      <c r="A260" s="2" t="s">
        <v>703</v>
      </c>
      <c r="B260" s="2" t="s">
        <v>1263</v>
      </c>
      <c r="C260" s="2" t="s">
        <v>792</v>
      </c>
      <c r="D260" s="2">
        <v>153</v>
      </c>
      <c r="E260" s="2">
        <v>204</v>
      </c>
      <c r="F260" s="2">
        <v>138</v>
      </c>
      <c r="G260" s="2">
        <v>169</v>
      </c>
      <c r="H260" s="2">
        <v>141</v>
      </c>
      <c r="I260" s="2">
        <v>192</v>
      </c>
      <c r="J260" s="3">
        <f t="shared" si="32"/>
        <v>997</v>
      </c>
      <c r="L260" s="2" t="s">
        <v>5</v>
      </c>
      <c r="M260" s="3">
        <f>SUM(F258:F265)</f>
        <v>868</v>
      </c>
      <c r="O260" s="4"/>
      <c r="P260" s="3"/>
    </row>
    <row r="261" spans="1:16">
      <c r="A261" s="2" t="s">
        <v>703</v>
      </c>
      <c r="B261" s="2" t="s">
        <v>1264</v>
      </c>
      <c r="C261" s="2" t="s">
        <v>745</v>
      </c>
      <c r="D261" s="2">
        <v>165</v>
      </c>
      <c r="E261" s="2">
        <v>198</v>
      </c>
      <c r="F261" s="2">
        <v>161</v>
      </c>
      <c r="G261" s="2">
        <v>182</v>
      </c>
      <c r="H261" s="2">
        <v>190</v>
      </c>
      <c r="I261" s="2">
        <v>185</v>
      </c>
      <c r="J261" s="3">
        <f t="shared" si="32"/>
        <v>1081</v>
      </c>
      <c r="L261" s="2" t="s">
        <v>6</v>
      </c>
      <c r="M261" s="3">
        <f>SUM(G258:G265)</f>
        <v>790</v>
      </c>
      <c r="O261" s="4"/>
      <c r="P261" s="3"/>
    </row>
    <row r="262" spans="1:16">
      <c r="A262" s="2" t="s">
        <v>703</v>
      </c>
      <c r="B262" s="2" t="s">
        <v>1265</v>
      </c>
      <c r="C262" s="2" t="s">
        <v>1266</v>
      </c>
      <c r="D262" s="2">
        <v>195</v>
      </c>
      <c r="E262" s="2">
        <v>167</v>
      </c>
      <c r="F262" s="2">
        <v>180</v>
      </c>
      <c r="G262" s="2">
        <v>175</v>
      </c>
      <c r="H262" s="2">
        <v>215</v>
      </c>
      <c r="I262" s="2">
        <v>165</v>
      </c>
      <c r="J262" s="3">
        <f t="shared" si="32"/>
        <v>1097</v>
      </c>
      <c r="L262" s="2" t="s">
        <v>7</v>
      </c>
      <c r="M262" s="3">
        <f>SUM(H258:H265)</f>
        <v>933</v>
      </c>
      <c r="O262" s="4"/>
      <c r="P262" s="3"/>
    </row>
    <row r="263" spans="1:16">
      <c r="A263" s="2" t="s">
        <v>703</v>
      </c>
      <c r="B263" s="2"/>
      <c r="C263" s="2"/>
      <c r="D263" s="2"/>
      <c r="E263" s="2"/>
      <c r="F263" s="2"/>
      <c r="G263" s="2"/>
      <c r="H263" s="2"/>
      <c r="I263" s="2"/>
      <c r="J263" s="3">
        <f t="shared" si="32"/>
        <v>0</v>
      </c>
      <c r="L263" s="2" t="s">
        <v>8</v>
      </c>
      <c r="M263" s="3">
        <f>SUM(I258:I265)</f>
        <v>867</v>
      </c>
      <c r="O263" s="4"/>
      <c r="P263" s="3"/>
    </row>
    <row r="264" spans="1:16">
      <c r="A264" s="2" t="s">
        <v>703</v>
      </c>
      <c r="B264" s="2"/>
      <c r="C264" s="2"/>
      <c r="D264" s="2"/>
      <c r="E264" s="2"/>
      <c r="F264" s="2"/>
      <c r="G264" s="2"/>
      <c r="H264" s="2"/>
      <c r="I264" s="2"/>
      <c r="J264" s="3">
        <f t="shared" si="32"/>
        <v>0</v>
      </c>
      <c r="L264" s="3"/>
      <c r="M264" s="3"/>
      <c r="O264" s="4"/>
      <c r="P264" s="3"/>
    </row>
    <row r="265" spans="1:16">
      <c r="A265" s="4" t="s">
        <v>703</v>
      </c>
      <c r="B265" s="2"/>
      <c r="C265" s="2"/>
      <c r="D265" s="2"/>
      <c r="E265" s="2"/>
      <c r="F265" s="2"/>
      <c r="G265" s="2"/>
      <c r="H265" s="2"/>
      <c r="I265" s="2"/>
      <c r="J265" s="3">
        <f t="shared" si="32"/>
        <v>0</v>
      </c>
      <c r="L265" s="2"/>
      <c r="M265" s="3"/>
      <c r="O265" s="4"/>
      <c r="P265" s="3"/>
    </row>
    <row r="266" spans="1:16">
      <c r="A266" s="6" t="s">
        <v>856</v>
      </c>
      <c r="B266" s="6" t="s">
        <v>1267</v>
      </c>
      <c r="C266" s="6" t="s">
        <v>1268</v>
      </c>
      <c r="D266" s="6">
        <v>189</v>
      </c>
      <c r="E266" s="6">
        <v>185</v>
      </c>
      <c r="F266" s="6">
        <v>182</v>
      </c>
      <c r="G266" s="6">
        <v>166</v>
      </c>
      <c r="H266" s="6">
        <v>189</v>
      </c>
      <c r="I266" s="6">
        <v>197</v>
      </c>
      <c r="J266" s="6">
        <f>SUM(D266:I266)</f>
        <v>1108</v>
      </c>
      <c r="L266" s="6" t="s">
        <v>3</v>
      </c>
      <c r="M266" s="7">
        <f>SUM(D266:D273)</f>
        <v>902</v>
      </c>
      <c r="O266" s="8" t="str">
        <f>A266</f>
        <v>McKendree</v>
      </c>
      <c r="P266" s="7">
        <f>SUM(M266:M271)</f>
        <v>5538</v>
      </c>
    </row>
    <row r="267" spans="1:16">
      <c r="A267" s="6" t="s">
        <v>856</v>
      </c>
      <c r="B267" s="6" t="s">
        <v>1175</v>
      </c>
      <c r="C267" s="6" t="s">
        <v>1269</v>
      </c>
      <c r="D267" s="6"/>
      <c r="E267" s="6"/>
      <c r="F267" s="6">
        <v>211</v>
      </c>
      <c r="G267" s="6">
        <v>163</v>
      </c>
      <c r="H267" s="6">
        <v>170</v>
      </c>
      <c r="I267" s="6">
        <v>233</v>
      </c>
      <c r="J267" s="6">
        <f t="shared" ref="J267:J273" si="33">SUM(D267:I267)</f>
        <v>777</v>
      </c>
      <c r="L267" s="6" t="s">
        <v>4</v>
      </c>
      <c r="M267" s="7">
        <f>SUM(E266:E273)</f>
        <v>843</v>
      </c>
      <c r="O267" s="8"/>
      <c r="P267" s="7"/>
    </row>
    <row r="268" spans="1:16">
      <c r="A268" s="6" t="s">
        <v>856</v>
      </c>
      <c r="B268" s="6" t="s">
        <v>1270</v>
      </c>
      <c r="C268" s="6" t="s">
        <v>1271</v>
      </c>
      <c r="D268" s="6">
        <v>193</v>
      </c>
      <c r="E268" s="6">
        <v>143</v>
      </c>
      <c r="F268" s="6">
        <v>195</v>
      </c>
      <c r="G268" s="6">
        <v>202</v>
      </c>
      <c r="H268" s="6">
        <v>166</v>
      </c>
      <c r="I268" s="6">
        <v>157</v>
      </c>
      <c r="J268" s="6">
        <f t="shared" si="33"/>
        <v>1056</v>
      </c>
      <c r="L268" s="6" t="s">
        <v>5</v>
      </c>
      <c r="M268" s="7">
        <f>SUM(F266:F273)</f>
        <v>924</v>
      </c>
      <c r="O268" s="8"/>
      <c r="P268" s="7"/>
    </row>
    <row r="269" spans="1:16">
      <c r="A269" s="6" t="s">
        <v>856</v>
      </c>
      <c r="B269" s="6" t="s">
        <v>1272</v>
      </c>
      <c r="C269" s="6" t="s">
        <v>1273</v>
      </c>
      <c r="D269" s="6"/>
      <c r="E269" s="6"/>
      <c r="F269" s="6"/>
      <c r="G269" s="6"/>
      <c r="H269" s="6"/>
      <c r="I269" s="6"/>
      <c r="J269" s="6">
        <f t="shared" si="33"/>
        <v>0</v>
      </c>
      <c r="L269" s="6" t="s">
        <v>6</v>
      </c>
      <c r="M269" s="7">
        <f>SUM(G266:G273)</f>
        <v>974</v>
      </c>
      <c r="O269" s="8"/>
      <c r="P269" s="7"/>
    </row>
    <row r="270" spans="1:16">
      <c r="A270" s="6" t="s">
        <v>856</v>
      </c>
      <c r="B270" s="6" t="s">
        <v>1274</v>
      </c>
      <c r="C270" s="6" t="s">
        <v>1275</v>
      </c>
      <c r="D270" s="6"/>
      <c r="E270" s="6"/>
      <c r="F270" s="6"/>
      <c r="G270" s="6"/>
      <c r="H270" s="6"/>
      <c r="I270" s="6"/>
      <c r="J270" s="6">
        <f t="shared" si="33"/>
        <v>0</v>
      </c>
      <c r="L270" s="6" t="s">
        <v>7</v>
      </c>
      <c r="M270" s="7">
        <f>SUM(H266:H273)</f>
        <v>923</v>
      </c>
      <c r="O270" s="8"/>
      <c r="P270" s="7"/>
    </row>
    <row r="271" spans="1:16">
      <c r="A271" s="6" t="s">
        <v>856</v>
      </c>
      <c r="B271" s="6" t="s">
        <v>195</v>
      </c>
      <c r="C271" s="6" t="s">
        <v>1276</v>
      </c>
      <c r="D271" s="6">
        <v>198</v>
      </c>
      <c r="E271" s="6">
        <v>162</v>
      </c>
      <c r="F271" s="6">
        <v>158</v>
      </c>
      <c r="G271" s="6">
        <v>226</v>
      </c>
      <c r="H271" s="6">
        <v>184</v>
      </c>
      <c r="I271" s="6">
        <v>179</v>
      </c>
      <c r="J271" s="6">
        <f t="shared" si="33"/>
        <v>1107</v>
      </c>
      <c r="L271" s="6" t="s">
        <v>8</v>
      </c>
      <c r="M271" s="7">
        <f>SUM(I266:I273)</f>
        <v>972</v>
      </c>
      <c r="O271" s="8"/>
      <c r="P271" s="7"/>
    </row>
    <row r="272" spans="1:16">
      <c r="A272" s="6" t="s">
        <v>856</v>
      </c>
      <c r="B272" s="6" t="s">
        <v>1277</v>
      </c>
      <c r="C272" s="6" t="s">
        <v>1278</v>
      </c>
      <c r="D272" s="6">
        <v>169</v>
      </c>
      <c r="E272" s="6">
        <v>192</v>
      </c>
      <c r="F272" s="6">
        <v>178</v>
      </c>
      <c r="G272" s="6">
        <v>217</v>
      </c>
      <c r="H272" s="6">
        <v>214</v>
      </c>
      <c r="I272" s="6">
        <v>206</v>
      </c>
      <c r="J272" s="6">
        <f t="shared" si="33"/>
        <v>1176</v>
      </c>
      <c r="L272" s="6"/>
      <c r="M272" s="7"/>
      <c r="O272" s="8"/>
      <c r="P272" s="7"/>
    </row>
    <row r="273" spans="1:16">
      <c r="A273" s="6" t="s">
        <v>856</v>
      </c>
      <c r="B273" s="6" t="s">
        <v>1279</v>
      </c>
      <c r="C273" s="6" t="s">
        <v>1280</v>
      </c>
      <c r="D273" s="6">
        <v>153</v>
      </c>
      <c r="E273" s="6">
        <v>161</v>
      </c>
      <c r="F273" s="6"/>
      <c r="G273" s="6"/>
      <c r="H273" s="6"/>
      <c r="I273" s="6"/>
      <c r="J273" s="6">
        <f t="shared" si="33"/>
        <v>314</v>
      </c>
      <c r="L273" s="6"/>
      <c r="M273" s="7"/>
      <c r="O273" s="8"/>
      <c r="P273" s="7"/>
    </row>
    <row r="274" spans="1:16">
      <c r="A274" s="2" t="s">
        <v>654</v>
      </c>
      <c r="B274" s="2" t="s">
        <v>1137</v>
      </c>
      <c r="C274" s="2" t="s">
        <v>1281</v>
      </c>
      <c r="D274" s="2"/>
      <c r="E274" s="2"/>
      <c r="F274" s="2"/>
      <c r="G274" s="2"/>
      <c r="H274" s="2"/>
      <c r="I274" s="2"/>
      <c r="J274" s="3">
        <f>SUM(D274:I274)</f>
        <v>0</v>
      </c>
      <c r="L274" s="2" t="s">
        <v>3</v>
      </c>
      <c r="M274" s="3">
        <f>SUM(D274:D281)</f>
        <v>982</v>
      </c>
      <c r="O274" s="4" t="str">
        <f>A274</f>
        <v>Notre Dame - Ohio</v>
      </c>
      <c r="P274" s="3">
        <f>SUM(M274:M279)</f>
        <v>5742</v>
      </c>
    </row>
    <row r="275" spans="1:16">
      <c r="A275" s="2" t="s">
        <v>654</v>
      </c>
      <c r="B275" s="2" t="s">
        <v>272</v>
      </c>
      <c r="C275" s="2" t="s">
        <v>1282</v>
      </c>
      <c r="D275" s="2">
        <v>231</v>
      </c>
      <c r="E275" s="2">
        <v>235</v>
      </c>
      <c r="F275" s="2">
        <v>184</v>
      </c>
      <c r="G275" s="2">
        <v>161</v>
      </c>
      <c r="H275" s="2">
        <v>226</v>
      </c>
      <c r="I275" s="2">
        <v>185</v>
      </c>
      <c r="J275" s="3">
        <f t="shared" ref="J275:J281" si="34">SUM(D275:I275)</f>
        <v>1222</v>
      </c>
      <c r="L275" s="2" t="s">
        <v>4</v>
      </c>
      <c r="M275" s="3">
        <f>SUM(E274:E281)</f>
        <v>1021</v>
      </c>
      <c r="O275" s="4"/>
      <c r="P275" s="3"/>
    </row>
    <row r="276" spans="1:16">
      <c r="A276" s="2" t="s">
        <v>654</v>
      </c>
      <c r="B276" s="2" t="s">
        <v>1156</v>
      </c>
      <c r="C276" s="2" t="s">
        <v>1283</v>
      </c>
      <c r="D276" s="2">
        <v>156</v>
      </c>
      <c r="E276" s="2">
        <v>224</v>
      </c>
      <c r="F276" s="2">
        <v>201</v>
      </c>
      <c r="G276" s="2">
        <v>243</v>
      </c>
      <c r="H276" s="2">
        <v>199</v>
      </c>
      <c r="I276" s="2">
        <v>203</v>
      </c>
      <c r="J276" s="3">
        <f t="shared" si="34"/>
        <v>1226</v>
      </c>
      <c r="L276" s="2" t="s">
        <v>5</v>
      </c>
      <c r="M276" s="3">
        <f>SUM(F274:F281)</f>
        <v>884</v>
      </c>
      <c r="O276" s="4"/>
      <c r="P276" s="3"/>
    </row>
    <row r="277" spans="1:16">
      <c r="A277" s="2" t="s">
        <v>654</v>
      </c>
      <c r="B277" s="2" t="s">
        <v>1284</v>
      </c>
      <c r="C277" s="2" t="s">
        <v>316</v>
      </c>
      <c r="D277" s="2"/>
      <c r="E277" s="2"/>
      <c r="F277" s="2"/>
      <c r="G277" s="2">
        <v>213</v>
      </c>
      <c r="H277" s="2">
        <v>191</v>
      </c>
      <c r="I277" s="2">
        <v>146</v>
      </c>
      <c r="J277" s="3">
        <f t="shared" si="34"/>
        <v>550</v>
      </c>
      <c r="L277" s="2" t="s">
        <v>6</v>
      </c>
      <c r="M277" s="3">
        <f>SUM(G274:G281)</f>
        <v>997</v>
      </c>
      <c r="O277" s="4"/>
      <c r="P277" s="3"/>
    </row>
    <row r="278" spans="1:16">
      <c r="A278" s="2" t="s">
        <v>654</v>
      </c>
      <c r="B278" s="2" t="s">
        <v>984</v>
      </c>
      <c r="C278" s="2" t="s">
        <v>1285</v>
      </c>
      <c r="D278" s="2">
        <v>216</v>
      </c>
      <c r="E278" s="2">
        <v>204</v>
      </c>
      <c r="F278" s="2">
        <v>146</v>
      </c>
      <c r="G278" s="2"/>
      <c r="H278" s="2"/>
      <c r="I278" s="2"/>
      <c r="J278" s="3">
        <f t="shared" si="34"/>
        <v>566</v>
      </c>
      <c r="L278" s="2" t="s">
        <v>7</v>
      </c>
      <c r="M278" s="3">
        <f>SUM(H274:H281)</f>
        <v>930</v>
      </c>
      <c r="O278" s="4"/>
      <c r="P278" s="3"/>
    </row>
    <row r="279" spans="1:16">
      <c r="A279" s="2" t="s">
        <v>654</v>
      </c>
      <c r="B279" s="2" t="s">
        <v>97</v>
      </c>
      <c r="C279" s="2" t="s">
        <v>1286</v>
      </c>
      <c r="D279" s="2"/>
      <c r="E279" s="2"/>
      <c r="F279" s="2"/>
      <c r="G279" s="2"/>
      <c r="H279" s="2"/>
      <c r="I279" s="2">
        <v>196</v>
      </c>
      <c r="J279" s="3">
        <f t="shared" si="34"/>
        <v>196</v>
      </c>
      <c r="L279" s="2" t="s">
        <v>8</v>
      </c>
      <c r="M279" s="3">
        <f>SUM(I274:I281)</f>
        <v>928</v>
      </c>
      <c r="O279" s="4"/>
      <c r="P279" s="3"/>
    </row>
    <row r="280" spans="1:16">
      <c r="A280" s="2" t="s">
        <v>654</v>
      </c>
      <c r="B280" s="2" t="s">
        <v>97</v>
      </c>
      <c r="C280" s="2" t="s">
        <v>1287</v>
      </c>
      <c r="D280" s="2">
        <v>166</v>
      </c>
      <c r="E280" s="2">
        <v>175</v>
      </c>
      <c r="F280" s="2">
        <v>172</v>
      </c>
      <c r="G280" s="2">
        <v>187</v>
      </c>
      <c r="H280" s="2">
        <v>134</v>
      </c>
      <c r="I280" s="2"/>
      <c r="J280" s="3">
        <f t="shared" si="34"/>
        <v>834</v>
      </c>
      <c r="L280" s="3"/>
      <c r="M280" s="3"/>
      <c r="O280" s="4"/>
      <c r="P280" s="3"/>
    </row>
    <row r="281" spans="1:16">
      <c r="A281" s="2" t="s">
        <v>654</v>
      </c>
      <c r="B281" s="2" t="s">
        <v>1013</v>
      </c>
      <c r="C281" s="2" t="s">
        <v>1288</v>
      </c>
      <c r="D281" s="2">
        <v>213</v>
      </c>
      <c r="E281" s="2">
        <v>183</v>
      </c>
      <c r="F281" s="2">
        <v>181</v>
      </c>
      <c r="G281" s="2">
        <v>193</v>
      </c>
      <c r="H281" s="2">
        <v>180</v>
      </c>
      <c r="I281" s="2">
        <v>198</v>
      </c>
      <c r="J281" s="3">
        <f t="shared" si="34"/>
        <v>1148</v>
      </c>
      <c r="L281" s="2"/>
      <c r="M281" s="3"/>
      <c r="O281" s="4"/>
      <c r="P281" s="3"/>
    </row>
    <row r="282" spans="1:16">
      <c r="A282" s="6" t="s">
        <v>1289</v>
      </c>
      <c r="B282" s="6" t="s">
        <v>1000</v>
      </c>
      <c r="C282" s="6" t="s">
        <v>1290</v>
      </c>
      <c r="D282" s="6">
        <v>164</v>
      </c>
      <c r="E282" s="6">
        <v>183</v>
      </c>
      <c r="F282" s="6">
        <v>173</v>
      </c>
      <c r="G282" s="6">
        <v>161</v>
      </c>
      <c r="H282" s="6">
        <v>179</v>
      </c>
      <c r="I282" s="6">
        <v>166</v>
      </c>
      <c r="J282" s="6">
        <f>SUM(D282:I282)</f>
        <v>1026</v>
      </c>
      <c r="L282" s="6" t="s">
        <v>3</v>
      </c>
      <c r="M282" s="7">
        <f>SUM(D282:D289)</f>
        <v>898</v>
      </c>
      <c r="O282" s="8" t="str">
        <f>A282</f>
        <v>Bellarmine</v>
      </c>
      <c r="P282" s="7">
        <f>SUM(M282:M287)</f>
        <v>5441</v>
      </c>
    </row>
    <row r="283" spans="1:16">
      <c r="A283" s="6" t="s">
        <v>1289</v>
      </c>
      <c r="B283" s="6" t="s">
        <v>1291</v>
      </c>
      <c r="C283" s="6" t="s">
        <v>1292</v>
      </c>
      <c r="D283" s="6">
        <v>111</v>
      </c>
      <c r="E283" s="6">
        <v>144</v>
      </c>
      <c r="F283" s="6">
        <v>171</v>
      </c>
      <c r="G283" s="6">
        <v>150</v>
      </c>
      <c r="H283" s="6">
        <v>159</v>
      </c>
      <c r="I283" s="6">
        <v>169</v>
      </c>
      <c r="J283" s="6">
        <f t="shared" ref="J283:J289" si="35">SUM(D283:I283)</f>
        <v>904</v>
      </c>
      <c r="L283" s="6" t="s">
        <v>4</v>
      </c>
      <c r="M283" s="7">
        <f>SUM(E282:E289)</f>
        <v>956</v>
      </c>
      <c r="O283" s="8"/>
      <c r="P283" s="7"/>
    </row>
    <row r="284" spans="1:16">
      <c r="A284" s="6" t="s">
        <v>1289</v>
      </c>
      <c r="B284" s="6" t="s">
        <v>1293</v>
      </c>
      <c r="C284" s="6" t="s">
        <v>1294</v>
      </c>
      <c r="D284" s="6"/>
      <c r="E284" s="6"/>
      <c r="F284" s="6"/>
      <c r="G284" s="6"/>
      <c r="H284" s="6"/>
      <c r="I284" s="6"/>
      <c r="J284" s="6">
        <f t="shared" si="35"/>
        <v>0</v>
      </c>
      <c r="L284" s="6" t="s">
        <v>5</v>
      </c>
      <c r="M284" s="7">
        <f>SUM(F282:F289)</f>
        <v>855</v>
      </c>
      <c r="O284" s="8"/>
      <c r="P284" s="7"/>
    </row>
    <row r="285" spans="1:16">
      <c r="A285" s="6" t="s">
        <v>1289</v>
      </c>
      <c r="B285" s="6" t="s">
        <v>1161</v>
      </c>
      <c r="C285" s="6" t="s">
        <v>1295</v>
      </c>
      <c r="D285" s="6">
        <v>203</v>
      </c>
      <c r="E285" s="6">
        <v>178</v>
      </c>
      <c r="F285" s="6">
        <v>155</v>
      </c>
      <c r="G285" s="6">
        <v>232</v>
      </c>
      <c r="H285" s="6">
        <v>187</v>
      </c>
      <c r="I285" s="6">
        <v>168</v>
      </c>
      <c r="J285" s="6">
        <f t="shared" si="35"/>
        <v>1123</v>
      </c>
      <c r="L285" s="6" t="s">
        <v>6</v>
      </c>
      <c r="M285" s="7">
        <f>SUM(G282:G289)</f>
        <v>992</v>
      </c>
      <c r="O285" s="8"/>
      <c r="P285" s="7"/>
    </row>
    <row r="286" spans="1:16">
      <c r="A286" s="6" t="s">
        <v>1289</v>
      </c>
      <c r="B286" s="6" t="s">
        <v>1134</v>
      </c>
      <c r="C286" s="6" t="s">
        <v>351</v>
      </c>
      <c r="D286" s="6">
        <v>194</v>
      </c>
      <c r="E286" s="6">
        <v>217</v>
      </c>
      <c r="F286" s="6">
        <v>173</v>
      </c>
      <c r="G286" s="6">
        <v>244</v>
      </c>
      <c r="H286" s="6">
        <v>171</v>
      </c>
      <c r="I286" s="6">
        <v>172</v>
      </c>
      <c r="J286" s="6">
        <f t="shared" si="35"/>
        <v>1171</v>
      </c>
      <c r="L286" s="6" t="s">
        <v>7</v>
      </c>
      <c r="M286" s="7">
        <f>SUM(H282:H289)</f>
        <v>891</v>
      </c>
      <c r="O286" s="8"/>
      <c r="P286" s="7"/>
    </row>
    <row r="287" spans="1:16">
      <c r="A287" s="6" t="s">
        <v>1289</v>
      </c>
      <c r="B287" s="6" t="s">
        <v>984</v>
      </c>
      <c r="C287" s="6" t="s">
        <v>1296</v>
      </c>
      <c r="D287" s="6">
        <v>226</v>
      </c>
      <c r="E287" s="6">
        <v>234</v>
      </c>
      <c r="F287" s="6">
        <v>183</v>
      </c>
      <c r="G287" s="6">
        <v>205</v>
      </c>
      <c r="H287" s="6">
        <v>195</v>
      </c>
      <c r="I287" s="6">
        <v>174</v>
      </c>
      <c r="J287" s="6">
        <f t="shared" si="35"/>
        <v>1217</v>
      </c>
      <c r="L287" s="6" t="s">
        <v>8</v>
      </c>
      <c r="M287" s="7">
        <f>SUM(I282:I289)</f>
        <v>849</v>
      </c>
      <c r="O287" s="8"/>
      <c r="P287" s="7"/>
    </row>
    <row r="288" spans="1:16">
      <c r="A288" s="6" t="s">
        <v>1289</v>
      </c>
      <c r="B288" s="6"/>
      <c r="C288" s="6"/>
      <c r="D288" s="6"/>
      <c r="E288" s="6"/>
      <c r="F288" s="6"/>
      <c r="G288" s="6"/>
      <c r="H288" s="6"/>
      <c r="I288" s="6"/>
      <c r="J288" s="6">
        <f t="shared" si="35"/>
        <v>0</v>
      </c>
      <c r="L288" s="6"/>
      <c r="M288" s="7"/>
      <c r="O288" s="8"/>
      <c r="P288" s="7"/>
    </row>
    <row r="289" spans="1:16">
      <c r="A289" s="6" t="s">
        <v>1289</v>
      </c>
      <c r="B289" s="6"/>
      <c r="C289" s="6"/>
      <c r="D289" s="6"/>
      <c r="E289" s="6"/>
      <c r="F289" s="6"/>
      <c r="G289" s="6"/>
      <c r="H289" s="6"/>
      <c r="I289" s="6"/>
      <c r="J289" s="6">
        <f t="shared" si="35"/>
        <v>0</v>
      </c>
      <c r="L289" s="6"/>
      <c r="M289" s="7"/>
      <c r="O289" s="8"/>
      <c r="P289" s="7"/>
    </row>
    <row r="290" spans="1:16">
      <c r="A290" s="2" t="s">
        <v>617</v>
      </c>
      <c r="B290" s="2" t="s">
        <v>1297</v>
      </c>
      <c r="C290" s="2" t="s">
        <v>1298</v>
      </c>
      <c r="D290" s="2">
        <v>159</v>
      </c>
      <c r="E290" s="2">
        <v>153</v>
      </c>
      <c r="F290" s="2"/>
      <c r="G290" s="2"/>
      <c r="H290" s="2">
        <v>160</v>
      </c>
      <c r="I290" s="2">
        <v>151</v>
      </c>
      <c r="J290" s="3">
        <f>SUM(D290:I290)</f>
        <v>623</v>
      </c>
      <c r="L290" s="2" t="s">
        <v>3</v>
      </c>
      <c r="M290" s="3">
        <f>SUM(D290:D297)</f>
        <v>872</v>
      </c>
      <c r="O290" s="4" t="str">
        <f>A290</f>
        <v>Wisconsin - Whitewater</v>
      </c>
      <c r="P290" s="3">
        <f>SUM(M290:M295)</f>
        <v>5217</v>
      </c>
    </row>
    <row r="291" spans="1:16">
      <c r="A291" s="2" t="s">
        <v>617</v>
      </c>
      <c r="B291" s="2" t="s">
        <v>1000</v>
      </c>
      <c r="C291" s="2" t="s">
        <v>1299</v>
      </c>
      <c r="D291" s="2">
        <v>192</v>
      </c>
      <c r="E291" s="2">
        <v>155</v>
      </c>
      <c r="F291" s="2">
        <v>188</v>
      </c>
      <c r="G291" s="2">
        <v>180</v>
      </c>
      <c r="H291" s="2">
        <v>182</v>
      </c>
      <c r="I291" s="2">
        <v>212</v>
      </c>
      <c r="J291" s="3">
        <f t="shared" ref="J291:J297" si="36">SUM(D291:I291)</f>
        <v>1109</v>
      </c>
      <c r="L291" s="2" t="s">
        <v>4</v>
      </c>
      <c r="M291" s="3">
        <f>SUM(E290:E297)</f>
        <v>780</v>
      </c>
      <c r="O291" s="4"/>
      <c r="P291" s="3"/>
    </row>
    <row r="292" spans="1:16">
      <c r="A292" s="2" t="s">
        <v>617</v>
      </c>
      <c r="B292" s="2" t="s">
        <v>406</v>
      </c>
      <c r="C292" s="2" t="s">
        <v>1300</v>
      </c>
      <c r="D292" s="2">
        <v>201</v>
      </c>
      <c r="E292" s="2">
        <v>152</v>
      </c>
      <c r="F292" s="2">
        <v>189</v>
      </c>
      <c r="G292" s="2">
        <v>171</v>
      </c>
      <c r="H292" s="2">
        <v>169</v>
      </c>
      <c r="I292" s="2">
        <v>180</v>
      </c>
      <c r="J292" s="3">
        <f t="shared" si="36"/>
        <v>1062</v>
      </c>
      <c r="L292" s="2" t="s">
        <v>5</v>
      </c>
      <c r="M292" s="3">
        <f>SUM(F290:F297)</f>
        <v>884</v>
      </c>
      <c r="O292" s="4"/>
      <c r="P292" s="3"/>
    </row>
    <row r="293" spans="1:16">
      <c r="A293" s="2" t="s">
        <v>617</v>
      </c>
      <c r="B293" s="2" t="s">
        <v>1301</v>
      </c>
      <c r="C293" s="2" t="s">
        <v>1302</v>
      </c>
      <c r="D293" s="2">
        <v>164</v>
      </c>
      <c r="E293" s="2">
        <v>176</v>
      </c>
      <c r="F293" s="2">
        <v>170</v>
      </c>
      <c r="G293" s="2">
        <v>179</v>
      </c>
      <c r="H293" s="2">
        <v>190</v>
      </c>
      <c r="I293" s="2">
        <v>177</v>
      </c>
      <c r="J293" s="3">
        <f t="shared" si="36"/>
        <v>1056</v>
      </c>
      <c r="L293" s="2" t="s">
        <v>6</v>
      </c>
      <c r="M293" s="3">
        <f>SUM(G290:G297)</f>
        <v>860</v>
      </c>
      <c r="O293" s="4"/>
      <c r="P293" s="3"/>
    </row>
    <row r="294" spans="1:16">
      <c r="A294" s="2" t="s">
        <v>617</v>
      </c>
      <c r="B294" s="2" t="s">
        <v>1068</v>
      </c>
      <c r="C294" s="2" t="s">
        <v>894</v>
      </c>
      <c r="D294" s="2"/>
      <c r="E294" s="2"/>
      <c r="F294" s="2">
        <v>177</v>
      </c>
      <c r="G294" s="2">
        <v>204</v>
      </c>
      <c r="H294" s="2">
        <v>209</v>
      </c>
      <c r="I294" s="2">
        <v>191</v>
      </c>
      <c r="J294" s="3">
        <f t="shared" si="36"/>
        <v>781</v>
      </c>
      <c r="L294" s="2" t="s">
        <v>7</v>
      </c>
      <c r="M294" s="3">
        <f>SUM(H290:H297)</f>
        <v>910</v>
      </c>
      <c r="O294" s="4"/>
      <c r="P294" s="3"/>
    </row>
    <row r="295" spans="1:16">
      <c r="A295" s="2" t="s">
        <v>617</v>
      </c>
      <c r="B295" s="2" t="s">
        <v>1161</v>
      </c>
      <c r="C295" s="2" t="s">
        <v>1303</v>
      </c>
      <c r="D295" s="2"/>
      <c r="E295" s="2"/>
      <c r="F295" s="2"/>
      <c r="G295" s="2"/>
      <c r="H295" s="2"/>
      <c r="I295" s="2"/>
      <c r="J295" s="3">
        <f t="shared" si="36"/>
        <v>0</v>
      </c>
      <c r="L295" s="2" t="s">
        <v>8</v>
      </c>
      <c r="M295" s="3">
        <f>SUM(I290:I297)</f>
        <v>911</v>
      </c>
      <c r="O295" s="4"/>
      <c r="P295" s="3"/>
    </row>
    <row r="296" spans="1:16">
      <c r="A296" s="2" t="s">
        <v>617</v>
      </c>
      <c r="B296" s="2" t="s">
        <v>1304</v>
      </c>
      <c r="C296" s="2" t="s">
        <v>925</v>
      </c>
      <c r="D296" s="2">
        <v>156</v>
      </c>
      <c r="E296" s="2">
        <v>144</v>
      </c>
      <c r="F296" s="2"/>
      <c r="G296" s="2"/>
      <c r="H296" s="2"/>
      <c r="I296" s="2"/>
      <c r="J296" s="3">
        <f t="shared" si="36"/>
        <v>300</v>
      </c>
      <c r="L296" s="3"/>
      <c r="M296" s="3"/>
      <c r="O296" s="4"/>
      <c r="P296" s="3"/>
    </row>
    <row r="297" spans="1:16">
      <c r="A297" s="4" t="s">
        <v>617</v>
      </c>
      <c r="B297" s="2" t="s">
        <v>1172</v>
      </c>
      <c r="C297" s="2" t="s">
        <v>1305</v>
      </c>
      <c r="D297" s="2"/>
      <c r="E297" s="2"/>
      <c r="F297" s="2">
        <v>160</v>
      </c>
      <c r="G297" s="2">
        <v>126</v>
      </c>
      <c r="H297" s="2"/>
      <c r="I297" s="2"/>
      <c r="J297" s="3">
        <f t="shared" si="36"/>
        <v>286</v>
      </c>
      <c r="L297" s="2"/>
      <c r="M297" s="3"/>
      <c r="O297" s="4"/>
      <c r="P297" s="3"/>
    </row>
    <row r="298" spans="1:16">
      <c r="A298" s="6" t="s">
        <v>1306</v>
      </c>
      <c r="B298" s="6" t="s">
        <v>1307</v>
      </c>
      <c r="C298" s="6" t="s">
        <v>1308</v>
      </c>
      <c r="D298" s="6">
        <v>180</v>
      </c>
      <c r="E298" s="6">
        <v>208</v>
      </c>
      <c r="F298" s="6">
        <v>185</v>
      </c>
      <c r="G298" s="6">
        <v>188</v>
      </c>
      <c r="H298" s="6">
        <v>193</v>
      </c>
      <c r="I298" s="6">
        <v>248</v>
      </c>
      <c r="J298" s="6">
        <f>SUM(D298:I298)</f>
        <v>1202</v>
      </c>
      <c r="L298" s="6" t="s">
        <v>3</v>
      </c>
      <c r="M298" s="7">
        <f>SUM(D298:D305)</f>
        <v>892</v>
      </c>
      <c r="O298" s="8" t="str">
        <f>A298</f>
        <v>St Francis - Joliet</v>
      </c>
      <c r="P298" s="7">
        <f>SUM(M298:M303)</f>
        <v>5705</v>
      </c>
    </row>
    <row r="299" spans="1:16">
      <c r="A299" s="6" t="s">
        <v>1306</v>
      </c>
      <c r="B299" s="6" t="s">
        <v>1152</v>
      </c>
      <c r="C299" s="6" t="s">
        <v>1309</v>
      </c>
      <c r="D299" s="6">
        <v>158</v>
      </c>
      <c r="E299" s="6"/>
      <c r="F299" s="6"/>
      <c r="G299" s="6">
        <v>257</v>
      </c>
      <c r="H299" s="6">
        <v>187</v>
      </c>
      <c r="I299" s="6">
        <v>232</v>
      </c>
      <c r="J299" s="6">
        <f t="shared" ref="J299:J305" si="37">SUM(D299:I299)</f>
        <v>834</v>
      </c>
      <c r="L299" s="6" t="s">
        <v>4</v>
      </c>
      <c r="M299" s="7">
        <f>SUM(E298:E305)</f>
        <v>925</v>
      </c>
      <c r="O299" s="8"/>
      <c r="P299" s="7"/>
    </row>
    <row r="300" spans="1:16">
      <c r="A300" s="6" t="s">
        <v>1306</v>
      </c>
      <c r="B300" s="6" t="s">
        <v>1310</v>
      </c>
      <c r="C300" s="6" t="s">
        <v>934</v>
      </c>
      <c r="D300" s="6"/>
      <c r="E300" s="6"/>
      <c r="F300" s="6">
        <v>156</v>
      </c>
      <c r="G300" s="6"/>
      <c r="H300" s="6"/>
      <c r="I300" s="6"/>
      <c r="J300" s="6">
        <f t="shared" si="37"/>
        <v>156</v>
      </c>
      <c r="L300" s="6" t="s">
        <v>5</v>
      </c>
      <c r="M300" s="7">
        <f>SUM(F298:F305)</f>
        <v>861</v>
      </c>
      <c r="O300" s="8"/>
      <c r="P300" s="7"/>
    </row>
    <row r="301" spans="1:16">
      <c r="A301" s="6" t="s">
        <v>1306</v>
      </c>
      <c r="B301" s="6" t="s">
        <v>1084</v>
      </c>
      <c r="C301" s="6" t="s">
        <v>1311</v>
      </c>
      <c r="D301" s="6">
        <v>225</v>
      </c>
      <c r="E301" s="6">
        <v>161</v>
      </c>
      <c r="F301" s="6">
        <v>159</v>
      </c>
      <c r="G301" s="6"/>
      <c r="H301" s="6"/>
      <c r="I301" s="6">
        <v>215</v>
      </c>
      <c r="J301" s="6">
        <f t="shared" si="37"/>
        <v>760</v>
      </c>
      <c r="L301" s="6" t="s">
        <v>6</v>
      </c>
      <c r="M301" s="7">
        <f>SUM(G298:G305)</f>
        <v>985</v>
      </c>
      <c r="O301" s="8"/>
      <c r="P301" s="7"/>
    </row>
    <row r="302" spans="1:16">
      <c r="A302" s="6" t="s">
        <v>1306</v>
      </c>
      <c r="B302" s="6" t="s">
        <v>1070</v>
      </c>
      <c r="C302" s="6" t="s">
        <v>1312</v>
      </c>
      <c r="D302" s="6"/>
      <c r="E302" s="6"/>
      <c r="F302" s="6"/>
      <c r="G302" s="6"/>
      <c r="H302" s="6"/>
      <c r="I302" s="6"/>
      <c r="J302" s="6">
        <f t="shared" si="37"/>
        <v>0</v>
      </c>
      <c r="L302" s="6" t="s">
        <v>7</v>
      </c>
      <c r="M302" s="7">
        <f>SUM(H298:H305)</f>
        <v>923</v>
      </c>
      <c r="O302" s="8"/>
      <c r="P302" s="7"/>
    </row>
    <row r="303" spans="1:16">
      <c r="A303" s="6" t="s">
        <v>1306</v>
      </c>
      <c r="B303" s="6" t="s">
        <v>1070</v>
      </c>
      <c r="C303" s="6" t="s">
        <v>1313</v>
      </c>
      <c r="D303" s="6"/>
      <c r="E303" s="6">
        <v>189</v>
      </c>
      <c r="F303" s="6">
        <v>177</v>
      </c>
      <c r="G303" s="6">
        <v>160</v>
      </c>
      <c r="H303" s="6">
        <v>180</v>
      </c>
      <c r="I303" s="6">
        <v>208</v>
      </c>
      <c r="J303" s="6">
        <f t="shared" si="37"/>
        <v>914</v>
      </c>
      <c r="L303" s="6" t="s">
        <v>8</v>
      </c>
      <c r="M303" s="7">
        <f>SUM(I298:I305)</f>
        <v>1119</v>
      </c>
      <c r="O303" s="8"/>
      <c r="P303" s="7"/>
    </row>
    <row r="304" spans="1:16">
      <c r="A304" s="6" t="s">
        <v>1306</v>
      </c>
      <c r="B304" s="6" t="s">
        <v>195</v>
      </c>
      <c r="C304" s="6" t="s">
        <v>1313</v>
      </c>
      <c r="D304" s="6">
        <v>156</v>
      </c>
      <c r="E304" s="6">
        <v>198</v>
      </c>
      <c r="F304" s="6">
        <v>184</v>
      </c>
      <c r="G304" s="6">
        <v>170</v>
      </c>
      <c r="H304" s="6">
        <v>205</v>
      </c>
      <c r="I304" s="6">
        <v>216</v>
      </c>
      <c r="J304" s="6">
        <f t="shared" si="37"/>
        <v>1129</v>
      </c>
      <c r="L304" s="6"/>
      <c r="M304" s="7"/>
      <c r="O304" s="8"/>
      <c r="P304" s="7"/>
    </row>
    <row r="305" spans="1:16">
      <c r="A305" s="6" t="s">
        <v>1306</v>
      </c>
      <c r="B305" s="6" t="s">
        <v>916</v>
      </c>
      <c r="C305" s="6" t="s">
        <v>1314</v>
      </c>
      <c r="D305" s="6">
        <v>173</v>
      </c>
      <c r="E305" s="6">
        <v>169</v>
      </c>
      <c r="F305" s="6"/>
      <c r="G305" s="6">
        <v>210</v>
      </c>
      <c r="H305" s="6">
        <v>158</v>
      </c>
      <c r="I305" s="6"/>
      <c r="J305" s="6">
        <f t="shared" si="37"/>
        <v>710</v>
      </c>
      <c r="L305" s="6"/>
      <c r="M305" s="7"/>
      <c r="O305" s="8"/>
      <c r="P305" s="7"/>
    </row>
    <row r="306" spans="1:16">
      <c r="A306" s="2" t="s">
        <v>1315</v>
      </c>
      <c r="B306" s="2" t="s">
        <v>920</v>
      </c>
      <c r="C306" s="2" t="s">
        <v>1316</v>
      </c>
      <c r="D306" s="2"/>
      <c r="E306" s="2"/>
      <c r="F306" s="2"/>
      <c r="G306" s="2"/>
      <c r="H306" s="2"/>
      <c r="I306" s="2"/>
      <c r="J306" s="3">
        <f>SUM(D306:I306)</f>
        <v>0</v>
      </c>
      <c r="L306" s="2" t="s">
        <v>3</v>
      </c>
      <c r="M306" s="3">
        <f>SUM(D306:D313)</f>
        <v>514</v>
      </c>
      <c r="O306" s="4" t="str">
        <f>A306</f>
        <v>Spalding</v>
      </c>
      <c r="P306" s="3">
        <f>SUM(M306:M311)</f>
        <v>2854</v>
      </c>
    </row>
    <row r="307" spans="1:16">
      <c r="A307" s="2" t="s">
        <v>1315</v>
      </c>
      <c r="B307" s="2" t="s">
        <v>1000</v>
      </c>
      <c r="C307" s="2" t="s">
        <v>1317</v>
      </c>
      <c r="D307" s="2">
        <v>148</v>
      </c>
      <c r="E307" s="2">
        <v>147</v>
      </c>
      <c r="F307" s="2">
        <v>154</v>
      </c>
      <c r="G307" s="2">
        <v>152</v>
      </c>
      <c r="H307" s="2">
        <v>159</v>
      </c>
      <c r="I307" s="2">
        <v>115</v>
      </c>
      <c r="J307" s="3">
        <f t="shared" ref="J307:J313" si="38">SUM(D307:I307)</f>
        <v>875</v>
      </c>
      <c r="L307" s="2" t="s">
        <v>4</v>
      </c>
      <c r="M307" s="3">
        <f>SUM(E306:E313)</f>
        <v>444</v>
      </c>
      <c r="O307" s="4"/>
      <c r="P307" s="3"/>
    </row>
    <row r="308" spans="1:16">
      <c r="A308" s="2" t="s">
        <v>1315</v>
      </c>
      <c r="B308" s="2" t="s">
        <v>1318</v>
      </c>
      <c r="C308" s="2" t="s">
        <v>97</v>
      </c>
      <c r="D308" s="2">
        <v>202</v>
      </c>
      <c r="E308" s="2">
        <v>148</v>
      </c>
      <c r="F308" s="2">
        <v>154</v>
      </c>
      <c r="G308" s="2">
        <v>190</v>
      </c>
      <c r="H308" s="2">
        <v>164</v>
      </c>
      <c r="I308" s="2">
        <v>148</v>
      </c>
      <c r="J308" s="3">
        <f t="shared" si="38"/>
        <v>1006</v>
      </c>
      <c r="L308" s="2" t="s">
        <v>5</v>
      </c>
      <c r="M308" s="3">
        <f>SUM(F306:F313)</f>
        <v>487</v>
      </c>
      <c r="O308" s="4"/>
      <c r="P308" s="3"/>
    </row>
    <row r="309" spans="1:16">
      <c r="A309" s="2" t="s">
        <v>1315</v>
      </c>
      <c r="B309" s="2" t="s">
        <v>1070</v>
      </c>
      <c r="C309" s="2" t="s">
        <v>1319</v>
      </c>
      <c r="D309" s="2"/>
      <c r="E309" s="2"/>
      <c r="F309" s="2"/>
      <c r="G309" s="2"/>
      <c r="H309" s="2"/>
      <c r="I309" s="2"/>
      <c r="J309" s="3">
        <f t="shared" si="38"/>
        <v>0</v>
      </c>
      <c r="L309" s="2" t="s">
        <v>6</v>
      </c>
      <c r="M309" s="3">
        <f>SUM(G306:G313)</f>
        <v>533</v>
      </c>
      <c r="O309" s="4"/>
      <c r="P309" s="3"/>
    </row>
    <row r="310" spans="1:16">
      <c r="A310" s="2" t="s">
        <v>1315</v>
      </c>
      <c r="B310" s="2" t="s">
        <v>984</v>
      </c>
      <c r="C310" s="2" t="s">
        <v>1317</v>
      </c>
      <c r="D310" s="2">
        <v>164</v>
      </c>
      <c r="E310" s="2">
        <v>149</v>
      </c>
      <c r="F310" s="2">
        <v>179</v>
      </c>
      <c r="G310" s="2">
        <v>191</v>
      </c>
      <c r="H310" s="2">
        <v>152</v>
      </c>
      <c r="I310" s="2">
        <v>138</v>
      </c>
      <c r="J310" s="3">
        <f t="shared" si="38"/>
        <v>973</v>
      </c>
      <c r="L310" s="2" t="s">
        <v>7</v>
      </c>
      <c r="M310" s="3">
        <f>SUM(H306:H313)</f>
        <v>475</v>
      </c>
      <c r="O310" s="4"/>
      <c r="P310" s="3"/>
    </row>
    <row r="311" spans="1:16">
      <c r="A311" s="2" t="s">
        <v>1315</v>
      </c>
      <c r="B311" s="2"/>
      <c r="C311" s="2"/>
      <c r="D311" s="2"/>
      <c r="E311" s="2"/>
      <c r="F311" s="2"/>
      <c r="G311" s="2"/>
      <c r="H311" s="2"/>
      <c r="I311" s="2"/>
      <c r="J311" s="3">
        <f t="shared" si="38"/>
        <v>0</v>
      </c>
      <c r="L311" s="2" t="s">
        <v>8</v>
      </c>
      <c r="M311" s="3">
        <f>SUM(I306:I313)</f>
        <v>401</v>
      </c>
      <c r="O311" s="4"/>
      <c r="P311" s="3"/>
    </row>
    <row r="312" spans="1:16">
      <c r="A312" s="2" t="s">
        <v>1315</v>
      </c>
      <c r="B312" s="2"/>
      <c r="C312" s="2"/>
      <c r="D312" s="2"/>
      <c r="E312" s="2"/>
      <c r="F312" s="2"/>
      <c r="G312" s="2"/>
      <c r="H312" s="2"/>
      <c r="I312" s="2"/>
      <c r="J312" s="3">
        <f t="shared" si="38"/>
        <v>0</v>
      </c>
      <c r="L312" s="3"/>
      <c r="M312" s="3"/>
      <c r="O312" s="4"/>
      <c r="P312" s="3"/>
    </row>
    <row r="313" spans="1:16">
      <c r="A313" s="2" t="s">
        <v>1315</v>
      </c>
      <c r="B313" s="2"/>
      <c r="C313" s="2"/>
      <c r="D313" s="2"/>
      <c r="E313" s="2"/>
      <c r="F313" s="2"/>
      <c r="G313" s="2"/>
      <c r="H313" s="2"/>
      <c r="I313" s="2"/>
      <c r="J313" s="3">
        <f t="shared" si="38"/>
        <v>0</v>
      </c>
      <c r="L313" s="2"/>
      <c r="M313" s="3"/>
      <c r="O313" s="4"/>
      <c r="P313" s="3"/>
    </row>
    <row r="314" spans="1:16">
      <c r="A314" s="6" t="s">
        <v>799</v>
      </c>
      <c r="B314" s="6" t="s">
        <v>1320</v>
      </c>
      <c r="C314" s="6" t="s">
        <v>1321</v>
      </c>
      <c r="D314" s="6"/>
      <c r="E314" s="6">
        <v>137</v>
      </c>
      <c r="F314" s="6">
        <v>159</v>
      </c>
      <c r="G314" s="6"/>
      <c r="H314" s="6"/>
      <c r="I314" s="6"/>
      <c r="J314" s="6">
        <f>SUM(D314:I314)</f>
        <v>296</v>
      </c>
      <c r="L314" s="6" t="s">
        <v>3</v>
      </c>
      <c r="M314" s="7">
        <f>SUM(D314:D321)</f>
        <v>824</v>
      </c>
      <c r="O314" s="8" t="str">
        <f>A314</f>
        <v>Saginaw Valley</v>
      </c>
      <c r="P314" s="7">
        <f>SUM(M314:M319)</f>
        <v>5203</v>
      </c>
    </row>
    <row r="315" spans="1:16">
      <c r="A315" s="6" t="s">
        <v>799</v>
      </c>
      <c r="B315" s="6" t="s">
        <v>1322</v>
      </c>
      <c r="C315" s="6" t="s">
        <v>1323</v>
      </c>
      <c r="D315" s="6">
        <v>184</v>
      </c>
      <c r="E315" s="6">
        <v>164</v>
      </c>
      <c r="F315" s="6">
        <v>153</v>
      </c>
      <c r="G315" s="6">
        <v>159</v>
      </c>
      <c r="H315" s="6">
        <v>174</v>
      </c>
      <c r="I315" s="6">
        <v>235</v>
      </c>
      <c r="J315" s="6">
        <f t="shared" ref="J315:J321" si="39">SUM(D315:I315)</f>
        <v>1069</v>
      </c>
      <c r="L315" s="6" t="s">
        <v>4</v>
      </c>
      <c r="M315" s="7">
        <f>SUM(E314:E321)</f>
        <v>754</v>
      </c>
      <c r="O315" s="8"/>
      <c r="P315" s="7"/>
    </row>
    <row r="316" spans="1:16">
      <c r="A316" s="6" t="s">
        <v>799</v>
      </c>
      <c r="B316" s="6" t="s">
        <v>1324</v>
      </c>
      <c r="C316" s="6" t="s">
        <v>1325</v>
      </c>
      <c r="D316" s="6">
        <v>156</v>
      </c>
      <c r="E316" s="6">
        <v>164</v>
      </c>
      <c r="F316" s="6">
        <v>224</v>
      </c>
      <c r="G316" s="6">
        <v>212</v>
      </c>
      <c r="H316" s="6">
        <v>178</v>
      </c>
      <c r="I316" s="6">
        <v>168</v>
      </c>
      <c r="J316" s="6">
        <f t="shared" si="39"/>
        <v>1102</v>
      </c>
      <c r="L316" s="6" t="s">
        <v>5</v>
      </c>
      <c r="M316" s="7">
        <f>SUM(F314:F321)</f>
        <v>885</v>
      </c>
      <c r="O316" s="8"/>
      <c r="P316" s="7"/>
    </row>
    <row r="317" spans="1:16">
      <c r="A317" s="6" t="s">
        <v>799</v>
      </c>
      <c r="B317" s="6" t="s">
        <v>1326</v>
      </c>
      <c r="C317" s="6" t="s">
        <v>972</v>
      </c>
      <c r="D317" s="6"/>
      <c r="E317" s="6"/>
      <c r="F317" s="6">
        <v>173</v>
      </c>
      <c r="G317" s="6">
        <v>158</v>
      </c>
      <c r="H317" s="6"/>
      <c r="I317" s="6"/>
      <c r="J317" s="6">
        <f t="shared" si="39"/>
        <v>331</v>
      </c>
      <c r="L317" s="6" t="s">
        <v>6</v>
      </c>
      <c r="M317" s="7">
        <f>SUM(G314:G321)</f>
        <v>905</v>
      </c>
      <c r="O317" s="8"/>
      <c r="P317" s="7"/>
    </row>
    <row r="318" spans="1:16">
      <c r="A318" s="6" t="s">
        <v>799</v>
      </c>
      <c r="B318" s="6" t="s">
        <v>1327</v>
      </c>
      <c r="C318" s="6" t="s">
        <v>1328</v>
      </c>
      <c r="D318" s="6">
        <v>172</v>
      </c>
      <c r="E318" s="6">
        <v>134</v>
      </c>
      <c r="F318" s="6"/>
      <c r="G318" s="6"/>
      <c r="H318" s="6">
        <v>138</v>
      </c>
      <c r="I318" s="6"/>
      <c r="J318" s="6">
        <f t="shared" si="39"/>
        <v>444</v>
      </c>
      <c r="L318" s="6" t="s">
        <v>7</v>
      </c>
      <c r="M318" s="7">
        <f>SUM(H314:H321)</f>
        <v>890</v>
      </c>
      <c r="O318" s="8"/>
      <c r="P318" s="7"/>
    </row>
    <row r="319" spans="1:16">
      <c r="A319" s="6" t="s">
        <v>799</v>
      </c>
      <c r="B319" s="6" t="s">
        <v>1272</v>
      </c>
      <c r="C319" s="6" t="s">
        <v>1329</v>
      </c>
      <c r="D319" s="6">
        <v>131</v>
      </c>
      <c r="E319" s="6"/>
      <c r="F319" s="6"/>
      <c r="G319" s="6">
        <v>166</v>
      </c>
      <c r="H319" s="6">
        <v>201</v>
      </c>
      <c r="I319" s="6">
        <v>184</v>
      </c>
      <c r="J319" s="6">
        <f t="shared" si="39"/>
        <v>682</v>
      </c>
      <c r="L319" s="6" t="s">
        <v>8</v>
      </c>
      <c r="M319" s="7">
        <f>SUM(I314:I321)</f>
        <v>945</v>
      </c>
      <c r="O319" s="8"/>
      <c r="P319" s="7"/>
    </row>
    <row r="320" spans="1:16">
      <c r="A320" s="6" t="s">
        <v>799</v>
      </c>
      <c r="B320" s="6" t="s">
        <v>88</v>
      </c>
      <c r="C320" s="6" t="s">
        <v>1330</v>
      </c>
      <c r="D320" s="6">
        <v>181</v>
      </c>
      <c r="E320" s="6">
        <v>155</v>
      </c>
      <c r="F320" s="6">
        <v>176</v>
      </c>
      <c r="G320" s="6">
        <v>210</v>
      </c>
      <c r="H320" s="6">
        <v>199</v>
      </c>
      <c r="I320" s="6">
        <v>178</v>
      </c>
      <c r="J320" s="6">
        <f t="shared" si="39"/>
        <v>1099</v>
      </c>
      <c r="L320" s="6"/>
      <c r="M320" s="7"/>
      <c r="O320" s="8"/>
      <c r="P320" s="7"/>
    </row>
    <row r="321" spans="1:16">
      <c r="A321" s="6" t="s">
        <v>799</v>
      </c>
      <c r="B321" s="6" t="s">
        <v>1172</v>
      </c>
      <c r="C321" s="6" t="s">
        <v>1331</v>
      </c>
      <c r="D321" s="6"/>
      <c r="E321" s="6"/>
      <c r="F321" s="6"/>
      <c r="G321" s="6"/>
      <c r="H321" s="6"/>
      <c r="I321" s="6">
        <v>180</v>
      </c>
      <c r="J321" s="6">
        <f t="shared" si="39"/>
        <v>180</v>
      </c>
      <c r="L321" s="6"/>
      <c r="M321" s="7"/>
      <c r="O321" s="8"/>
      <c r="P321" s="7"/>
    </row>
    <row r="322" spans="1:16">
      <c r="A322" s="2" t="s">
        <v>643</v>
      </c>
      <c r="B322" s="2" t="s">
        <v>128</v>
      </c>
      <c r="C322" s="2" t="s">
        <v>424</v>
      </c>
      <c r="D322" s="2">
        <v>157</v>
      </c>
      <c r="E322" s="2">
        <v>184</v>
      </c>
      <c r="F322" s="2">
        <v>173</v>
      </c>
      <c r="G322" s="2">
        <v>226</v>
      </c>
      <c r="H322" s="2">
        <v>177</v>
      </c>
      <c r="I322" s="2">
        <v>164</v>
      </c>
      <c r="J322" s="3">
        <f>SUM(D322:I322)</f>
        <v>1081</v>
      </c>
      <c r="L322" s="2" t="s">
        <v>3</v>
      </c>
      <c r="M322" s="3">
        <f>SUM(D322:D329)</f>
        <v>853</v>
      </c>
      <c r="O322" s="4" t="str">
        <f>A322</f>
        <v>Campbellsville</v>
      </c>
      <c r="P322" s="3">
        <f>SUM(M322:M327)</f>
        <v>5464</v>
      </c>
    </row>
    <row r="323" spans="1:16">
      <c r="A323" s="2" t="s">
        <v>643</v>
      </c>
      <c r="B323" s="2" t="s">
        <v>1332</v>
      </c>
      <c r="C323" s="2" t="s">
        <v>227</v>
      </c>
      <c r="D323" s="2"/>
      <c r="E323" s="2"/>
      <c r="F323" s="2"/>
      <c r="G323" s="2"/>
      <c r="H323" s="2"/>
      <c r="I323" s="2"/>
      <c r="J323" s="3">
        <f t="shared" ref="J323:J329" si="40">SUM(D323:I323)</f>
        <v>0</v>
      </c>
      <c r="L323" s="2" t="s">
        <v>4</v>
      </c>
      <c r="M323" s="3">
        <f>SUM(E322:E329)</f>
        <v>943</v>
      </c>
      <c r="O323" s="4"/>
      <c r="P323" s="3"/>
    </row>
    <row r="324" spans="1:16">
      <c r="A324" s="2" t="s">
        <v>643</v>
      </c>
      <c r="B324" s="2" t="s">
        <v>1333</v>
      </c>
      <c r="C324" s="2" t="s">
        <v>1135</v>
      </c>
      <c r="D324" s="2">
        <v>156</v>
      </c>
      <c r="E324" s="2">
        <v>223</v>
      </c>
      <c r="F324" s="2">
        <v>179</v>
      </c>
      <c r="G324" s="2">
        <v>162</v>
      </c>
      <c r="H324" s="2">
        <v>153</v>
      </c>
      <c r="I324" s="2">
        <v>237</v>
      </c>
      <c r="J324" s="3">
        <f t="shared" si="40"/>
        <v>1110</v>
      </c>
      <c r="L324" s="2" t="s">
        <v>5</v>
      </c>
      <c r="M324" s="3">
        <f>SUM(F322:F329)</f>
        <v>958</v>
      </c>
      <c r="O324" s="4"/>
      <c r="P324" s="3"/>
    </row>
    <row r="325" spans="1:16">
      <c r="A325" s="2" t="s">
        <v>643</v>
      </c>
      <c r="B325" s="2" t="s">
        <v>1181</v>
      </c>
      <c r="C325" s="2" t="s">
        <v>605</v>
      </c>
      <c r="D325" s="2"/>
      <c r="E325" s="2"/>
      <c r="F325" s="2"/>
      <c r="G325" s="2"/>
      <c r="H325" s="2"/>
      <c r="I325" s="2"/>
      <c r="J325" s="3">
        <f t="shared" si="40"/>
        <v>0</v>
      </c>
      <c r="L325" s="2" t="s">
        <v>6</v>
      </c>
      <c r="M325" s="3">
        <f>SUM(G322:G329)</f>
        <v>928</v>
      </c>
      <c r="O325" s="4"/>
      <c r="P325" s="3"/>
    </row>
    <row r="326" spans="1:16">
      <c r="A326" s="2" t="s">
        <v>643</v>
      </c>
      <c r="B326" s="2" t="s">
        <v>1334</v>
      </c>
      <c r="C326" s="2" t="s">
        <v>1335</v>
      </c>
      <c r="D326" s="2">
        <v>196</v>
      </c>
      <c r="E326" s="2">
        <v>199</v>
      </c>
      <c r="F326" s="2">
        <v>193</v>
      </c>
      <c r="G326" s="2">
        <v>180</v>
      </c>
      <c r="H326" s="2">
        <v>158</v>
      </c>
      <c r="I326" s="2">
        <v>168</v>
      </c>
      <c r="J326" s="3">
        <f t="shared" si="40"/>
        <v>1094</v>
      </c>
      <c r="L326" s="2" t="s">
        <v>7</v>
      </c>
      <c r="M326" s="3">
        <f>SUM(H322:H329)</f>
        <v>857</v>
      </c>
      <c r="O326" s="4"/>
      <c r="P326" s="3"/>
    </row>
    <row r="327" spans="1:16">
      <c r="A327" s="2" t="s">
        <v>643</v>
      </c>
      <c r="B327" s="2" t="s">
        <v>1336</v>
      </c>
      <c r="C327" s="2" t="s">
        <v>1022</v>
      </c>
      <c r="D327" s="2">
        <v>161</v>
      </c>
      <c r="E327" s="2">
        <v>196</v>
      </c>
      <c r="F327" s="2">
        <v>212</v>
      </c>
      <c r="G327" s="2">
        <v>195</v>
      </c>
      <c r="H327" s="2">
        <v>183</v>
      </c>
      <c r="I327" s="2">
        <v>172</v>
      </c>
      <c r="J327" s="3">
        <f t="shared" si="40"/>
        <v>1119</v>
      </c>
      <c r="L327" s="2" t="s">
        <v>8</v>
      </c>
      <c r="M327" s="3">
        <f>SUM(I322:I329)</f>
        <v>925</v>
      </c>
      <c r="O327" s="4"/>
      <c r="P327" s="3"/>
    </row>
    <row r="328" spans="1:16">
      <c r="A328" s="2" t="s">
        <v>643</v>
      </c>
      <c r="B328" s="2" t="s">
        <v>1337</v>
      </c>
      <c r="C328" s="2" t="s">
        <v>1022</v>
      </c>
      <c r="D328" s="2">
        <v>183</v>
      </c>
      <c r="E328" s="2">
        <v>141</v>
      </c>
      <c r="F328" s="2">
        <v>201</v>
      </c>
      <c r="G328" s="2">
        <v>165</v>
      </c>
      <c r="H328" s="2">
        <v>186</v>
      </c>
      <c r="I328" s="2">
        <v>184</v>
      </c>
      <c r="J328" s="3">
        <f t="shared" si="40"/>
        <v>1060</v>
      </c>
      <c r="L328" s="3"/>
      <c r="M328" s="3"/>
      <c r="O328" s="4"/>
      <c r="P328" s="3"/>
    </row>
    <row r="329" spans="1:16">
      <c r="A329" s="2" t="s">
        <v>643</v>
      </c>
      <c r="B329" s="2" t="s">
        <v>914</v>
      </c>
      <c r="C329" s="2" t="s">
        <v>1338</v>
      </c>
      <c r="D329" s="2"/>
      <c r="E329" s="2"/>
      <c r="F329" s="2"/>
      <c r="G329" s="2"/>
      <c r="H329" s="2"/>
      <c r="I329" s="2"/>
      <c r="J329" s="3">
        <f t="shared" si="40"/>
        <v>0</v>
      </c>
      <c r="L329" s="2"/>
      <c r="M329" s="3"/>
      <c r="O329" s="4"/>
      <c r="P329" s="3"/>
    </row>
    <row r="330" spans="1:16">
      <c r="A330" s="6" t="s">
        <v>1339</v>
      </c>
      <c r="B330" s="6" t="s">
        <v>1038</v>
      </c>
      <c r="C330" s="6" t="s">
        <v>869</v>
      </c>
      <c r="D330" s="6">
        <v>158</v>
      </c>
      <c r="E330" s="6">
        <v>159</v>
      </c>
      <c r="F330" s="6">
        <v>163</v>
      </c>
      <c r="G330" s="6">
        <v>232</v>
      </c>
      <c r="H330" s="6">
        <v>196</v>
      </c>
      <c r="I330" s="6">
        <v>176</v>
      </c>
      <c r="J330" s="6">
        <f>SUM(D330:I330)</f>
        <v>1084</v>
      </c>
      <c r="L330" s="6" t="s">
        <v>3</v>
      </c>
      <c r="M330" s="7">
        <f>SUM(D330:D337)</f>
        <v>862</v>
      </c>
      <c r="O330" s="8" t="str">
        <f>A330</f>
        <v>Ursuline</v>
      </c>
      <c r="P330" s="7">
        <f>SUM(M330:M335)</f>
        <v>5354</v>
      </c>
    </row>
    <row r="331" spans="1:16">
      <c r="A331" s="6" t="s">
        <v>1339</v>
      </c>
      <c r="B331" s="6" t="s">
        <v>1310</v>
      </c>
      <c r="C331" s="6" t="s">
        <v>1340</v>
      </c>
      <c r="D331" s="6">
        <v>153</v>
      </c>
      <c r="E331" s="6">
        <v>133</v>
      </c>
      <c r="F331" s="6">
        <v>187</v>
      </c>
      <c r="G331" s="6">
        <v>179</v>
      </c>
      <c r="H331" s="6">
        <v>164</v>
      </c>
      <c r="I331" s="6">
        <v>201</v>
      </c>
      <c r="J331" s="6">
        <f t="shared" ref="J331:J337" si="41">SUM(D331:I331)</f>
        <v>1017</v>
      </c>
      <c r="L331" s="6" t="s">
        <v>4</v>
      </c>
      <c r="M331" s="7">
        <f>SUM(E330:E337)</f>
        <v>835</v>
      </c>
      <c r="O331" s="8"/>
      <c r="P331" s="7"/>
    </row>
    <row r="332" spans="1:16">
      <c r="A332" s="6" t="s">
        <v>1339</v>
      </c>
      <c r="B332" s="6" t="s">
        <v>1156</v>
      </c>
      <c r="C332" s="6" t="s">
        <v>1341</v>
      </c>
      <c r="D332" s="6">
        <v>179</v>
      </c>
      <c r="E332" s="6">
        <v>129</v>
      </c>
      <c r="F332" s="6"/>
      <c r="G332" s="6"/>
      <c r="H332" s="6"/>
      <c r="I332" s="6"/>
      <c r="J332" s="6">
        <f t="shared" si="41"/>
        <v>308</v>
      </c>
      <c r="L332" s="6" t="s">
        <v>5</v>
      </c>
      <c r="M332" s="7">
        <f>SUM(F330:F337)</f>
        <v>949</v>
      </c>
      <c r="O332" s="8"/>
      <c r="P332" s="7"/>
    </row>
    <row r="333" spans="1:16">
      <c r="A333" s="6" t="s">
        <v>1339</v>
      </c>
      <c r="B333" s="6" t="s">
        <v>1084</v>
      </c>
      <c r="C333" s="6" t="s">
        <v>1342</v>
      </c>
      <c r="D333" s="6">
        <v>213</v>
      </c>
      <c r="E333" s="6">
        <v>203</v>
      </c>
      <c r="F333" s="6">
        <v>173</v>
      </c>
      <c r="G333" s="6">
        <v>145</v>
      </c>
      <c r="H333" s="6">
        <v>163</v>
      </c>
      <c r="I333" s="6">
        <v>152</v>
      </c>
      <c r="J333" s="6">
        <f t="shared" si="41"/>
        <v>1049</v>
      </c>
      <c r="L333" s="6" t="s">
        <v>6</v>
      </c>
      <c r="M333" s="7">
        <f>SUM(G330:G337)</f>
        <v>968</v>
      </c>
      <c r="O333" s="8"/>
      <c r="P333" s="7"/>
    </row>
    <row r="334" spans="1:16">
      <c r="A334" s="6" t="s">
        <v>1339</v>
      </c>
      <c r="B334" s="6" t="s">
        <v>1343</v>
      </c>
      <c r="C334" s="6" t="s">
        <v>1344</v>
      </c>
      <c r="D334" s="6">
        <v>159</v>
      </c>
      <c r="E334" s="6">
        <v>211</v>
      </c>
      <c r="F334" s="6">
        <v>256</v>
      </c>
      <c r="G334" s="6">
        <v>210</v>
      </c>
      <c r="H334" s="6">
        <v>185</v>
      </c>
      <c r="I334" s="6">
        <v>196</v>
      </c>
      <c r="J334" s="6">
        <f t="shared" si="41"/>
        <v>1217</v>
      </c>
      <c r="L334" s="6" t="s">
        <v>7</v>
      </c>
      <c r="M334" s="7">
        <f>SUM(H330:H337)</f>
        <v>862</v>
      </c>
      <c r="O334" s="8"/>
      <c r="P334" s="7"/>
    </row>
    <row r="335" spans="1:16">
      <c r="A335" s="6" t="s">
        <v>1339</v>
      </c>
      <c r="B335" s="6" t="s">
        <v>1272</v>
      </c>
      <c r="C335" s="6" t="s">
        <v>348</v>
      </c>
      <c r="D335" s="6"/>
      <c r="E335" s="6"/>
      <c r="F335" s="6">
        <v>170</v>
      </c>
      <c r="G335" s="6">
        <v>202</v>
      </c>
      <c r="H335" s="6">
        <v>154</v>
      </c>
      <c r="I335" s="6">
        <v>153</v>
      </c>
      <c r="J335" s="6">
        <f t="shared" si="41"/>
        <v>679</v>
      </c>
      <c r="L335" s="6" t="s">
        <v>8</v>
      </c>
      <c r="M335" s="7">
        <f>SUM(I330:I337)</f>
        <v>878</v>
      </c>
      <c r="O335" s="8"/>
      <c r="P335" s="7"/>
    </row>
    <row r="336" spans="1:16">
      <c r="A336" s="6" t="s">
        <v>1339</v>
      </c>
      <c r="B336" s="6" t="s">
        <v>916</v>
      </c>
      <c r="C336" s="6" t="s">
        <v>1345</v>
      </c>
      <c r="D336" s="6"/>
      <c r="E336" s="6"/>
      <c r="F336" s="6"/>
      <c r="G336" s="6"/>
      <c r="H336" s="6"/>
      <c r="I336" s="6"/>
      <c r="J336" s="6">
        <f t="shared" si="41"/>
        <v>0</v>
      </c>
      <c r="L336" s="6"/>
      <c r="M336" s="7"/>
      <c r="O336" s="8"/>
      <c r="P336" s="7"/>
    </row>
    <row r="337" spans="1:16">
      <c r="A337" s="6" t="s">
        <v>1339</v>
      </c>
      <c r="B337" s="6"/>
      <c r="C337" s="6"/>
      <c r="D337" s="6"/>
      <c r="E337" s="6"/>
      <c r="F337" s="6"/>
      <c r="G337" s="6"/>
      <c r="H337" s="6"/>
      <c r="I337" s="6"/>
      <c r="J337" s="6">
        <f t="shared" si="41"/>
        <v>0</v>
      </c>
      <c r="L337" s="6"/>
      <c r="M337" s="7"/>
      <c r="O337" s="8"/>
      <c r="P337" s="7"/>
    </row>
    <row r="338" spans="1:16">
      <c r="A338" s="2" t="s">
        <v>318</v>
      </c>
      <c r="B338" s="2" t="s">
        <v>530</v>
      </c>
      <c r="C338" s="2" t="s">
        <v>1346</v>
      </c>
      <c r="D338" s="2">
        <v>145</v>
      </c>
      <c r="E338" s="2">
        <v>166</v>
      </c>
      <c r="F338" s="2">
        <v>153</v>
      </c>
      <c r="G338" s="2">
        <v>168</v>
      </c>
      <c r="H338" s="2">
        <v>133</v>
      </c>
      <c r="I338" s="2"/>
      <c r="J338" s="3">
        <f>SUM(D338:I338)</f>
        <v>765</v>
      </c>
      <c r="L338" s="2" t="s">
        <v>3</v>
      </c>
      <c r="M338" s="3">
        <f>SUM(D338:D345)</f>
        <v>651</v>
      </c>
      <c r="O338" s="4" t="str">
        <f>A338</f>
        <v>Michigan State</v>
      </c>
      <c r="P338" s="3">
        <f>SUM(M338:M343)</f>
        <v>4447</v>
      </c>
    </row>
    <row r="339" spans="1:16">
      <c r="A339" s="2" t="s">
        <v>318</v>
      </c>
      <c r="B339" s="2" t="s">
        <v>1347</v>
      </c>
      <c r="C339" s="2" t="s">
        <v>118</v>
      </c>
      <c r="D339" s="2">
        <v>123</v>
      </c>
      <c r="E339" s="2">
        <v>158</v>
      </c>
      <c r="F339" s="2">
        <v>124</v>
      </c>
      <c r="G339" s="2"/>
      <c r="H339" s="2">
        <v>210</v>
      </c>
      <c r="I339" s="2">
        <v>164</v>
      </c>
      <c r="J339" s="3">
        <f t="shared" ref="J339:J345" si="42">SUM(D339:I339)</f>
        <v>779</v>
      </c>
      <c r="L339" s="2" t="s">
        <v>4</v>
      </c>
      <c r="M339" s="3">
        <f>SUM(E338:E345)</f>
        <v>824</v>
      </c>
      <c r="O339" s="4"/>
      <c r="P339" s="3"/>
    </row>
    <row r="340" spans="1:16">
      <c r="A340" s="2" t="s">
        <v>318</v>
      </c>
      <c r="B340" s="2" t="s">
        <v>1132</v>
      </c>
      <c r="C340" s="2" t="s">
        <v>348</v>
      </c>
      <c r="D340" s="2">
        <v>129</v>
      </c>
      <c r="E340" s="2">
        <v>190</v>
      </c>
      <c r="F340" s="2">
        <v>167</v>
      </c>
      <c r="G340" s="2">
        <v>176</v>
      </c>
      <c r="H340" s="2">
        <v>135</v>
      </c>
      <c r="I340" s="2">
        <v>148</v>
      </c>
      <c r="J340" s="3">
        <f t="shared" si="42"/>
        <v>945</v>
      </c>
      <c r="L340" s="2" t="s">
        <v>5</v>
      </c>
      <c r="M340" s="3">
        <f>SUM(F338:F345)</f>
        <v>680</v>
      </c>
      <c r="O340" s="4"/>
      <c r="P340" s="3"/>
    </row>
    <row r="341" spans="1:16">
      <c r="A341" s="2" t="s">
        <v>318</v>
      </c>
      <c r="B341" s="2" t="s">
        <v>1348</v>
      </c>
      <c r="C341" s="2" t="s">
        <v>126</v>
      </c>
      <c r="D341" s="2"/>
      <c r="E341" s="2">
        <v>136</v>
      </c>
      <c r="F341" s="2"/>
      <c r="G341" s="2">
        <v>118</v>
      </c>
      <c r="H341" s="2"/>
      <c r="I341" s="2">
        <v>140</v>
      </c>
      <c r="J341" s="3">
        <f t="shared" si="42"/>
        <v>394</v>
      </c>
      <c r="L341" s="2" t="s">
        <v>6</v>
      </c>
      <c r="M341" s="3">
        <f>SUM(G338:G345)</f>
        <v>760</v>
      </c>
      <c r="O341" s="4"/>
      <c r="P341" s="3"/>
    </row>
    <row r="342" spans="1:16">
      <c r="A342" s="2" t="s">
        <v>318</v>
      </c>
      <c r="B342" s="2" t="s">
        <v>195</v>
      </c>
      <c r="C342" s="2" t="s">
        <v>1349</v>
      </c>
      <c r="D342" s="2">
        <v>111</v>
      </c>
      <c r="E342" s="2"/>
      <c r="F342" s="2">
        <v>101</v>
      </c>
      <c r="G342" s="2">
        <v>135</v>
      </c>
      <c r="H342" s="2">
        <v>126</v>
      </c>
      <c r="I342" s="2">
        <v>149</v>
      </c>
      <c r="J342" s="3">
        <f t="shared" si="42"/>
        <v>622</v>
      </c>
      <c r="L342" s="2" t="s">
        <v>7</v>
      </c>
      <c r="M342" s="3">
        <f>SUM(H338:H345)</f>
        <v>803</v>
      </c>
      <c r="O342" s="4"/>
      <c r="P342" s="3"/>
    </row>
    <row r="343" spans="1:16">
      <c r="A343" s="2" t="s">
        <v>318</v>
      </c>
      <c r="B343" s="2" t="s">
        <v>1172</v>
      </c>
      <c r="C343" s="2" t="s">
        <v>1350</v>
      </c>
      <c r="D343" s="2">
        <v>143</v>
      </c>
      <c r="E343" s="2">
        <v>174</v>
      </c>
      <c r="F343" s="2">
        <v>135</v>
      </c>
      <c r="G343" s="2">
        <v>163</v>
      </c>
      <c r="H343" s="2">
        <v>199</v>
      </c>
      <c r="I343" s="2">
        <v>128</v>
      </c>
      <c r="J343" s="3">
        <f t="shared" si="42"/>
        <v>942</v>
      </c>
      <c r="L343" s="2" t="s">
        <v>8</v>
      </c>
      <c r="M343" s="3">
        <f>SUM(I338:I345)</f>
        <v>729</v>
      </c>
      <c r="O343" s="4"/>
      <c r="P343" s="3"/>
    </row>
    <row r="344" spans="1:16">
      <c r="A344" s="2" t="s">
        <v>318</v>
      </c>
      <c r="B344" s="2" t="s">
        <v>916</v>
      </c>
      <c r="C344" s="2" t="s">
        <v>1351</v>
      </c>
      <c r="D344" s="2"/>
      <c r="E344" s="2"/>
      <c r="F344" s="2"/>
      <c r="G344" s="2"/>
      <c r="H344" s="2"/>
      <c r="I344" s="2"/>
      <c r="J344" s="3">
        <f t="shared" si="42"/>
        <v>0</v>
      </c>
      <c r="L344" s="2"/>
      <c r="M344" s="3"/>
      <c r="O344" s="4"/>
      <c r="P344" s="3"/>
    </row>
    <row r="345" spans="1:16">
      <c r="A345" s="2" t="s">
        <v>318</v>
      </c>
      <c r="B345" s="2"/>
      <c r="C345" s="2"/>
      <c r="D345" s="2"/>
      <c r="E345" s="2"/>
      <c r="F345" s="2"/>
      <c r="G345" s="2"/>
      <c r="H345" s="2"/>
      <c r="I345" s="2"/>
      <c r="J345" s="3">
        <f t="shared" si="42"/>
        <v>0</v>
      </c>
      <c r="L345" s="2"/>
      <c r="M345" s="3"/>
      <c r="O345" s="4"/>
      <c r="P345" s="3"/>
    </row>
    <row r="346" spans="1:16">
      <c r="A346" s="6" t="s">
        <v>44</v>
      </c>
      <c r="B346" s="6" t="s">
        <v>1352</v>
      </c>
      <c r="C346" s="6" t="s">
        <v>1353</v>
      </c>
      <c r="D346" s="6">
        <v>155</v>
      </c>
      <c r="E346" s="6">
        <v>173</v>
      </c>
      <c r="F346" s="6">
        <v>143</v>
      </c>
      <c r="G346" s="6">
        <v>174</v>
      </c>
      <c r="H346" s="6">
        <v>159</v>
      </c>
      <c r="I346" s="6">
        <v>163</v>
      </c>
      <c r="J346" s="6">
        <f>SUM(D346:I346)</f>
        <v>967</v>
      </c>
      <c r="L346" s="6" t="s">
        <v>3</v>
      </c>
      <c r="M346" s="7">
        <f>SUM(D346:D353)</f>
        <v>830</v>
      </c>
      <c r="O346" s="8" t="str">
        <f>A346</f>
        <v>Lindsey Wilson</v>
      </c>
      <c r="P346" s="7">
        <f>SUM(M346:M351)</f>
        <v>4736</v>
      </c>
    </row>
    <row r="347" spans="1:16">
      <c r="A347" s="6" t="s">
        <v>44</v>
      </c>
      <c r="B347" s="6" t="s">
        <v>1354</v>
      </c>
      <c r="C347" s="6" t="s">
        <v>1277</v>
      </c>
      <c r="D347" s="6">
        <v>177</v>
      </c>
      <c r="E347" s="6">
        <v>164</v>
      </c>
      <c r="F347" s="6">
        <v>163</v>
      </c>
      <c r="G347" s="6">
        <v>197</v>
      </c>
      <c r="H347" s="6">
        <v>185</v>
      </c>
      <c r="I347" s="6">
        <v>143</v>
      </c>
      <c r="J347" s="6">
        <f t="shared" ref="J347:J353" si="43">SUM(D347:I347)</f>
        <v>1029</v>
      </c>
      <c r="L347" s="6" t="s">
        <v>4</v>
      </c>
      <c r="M347" s="7">
        <f>SUM(E346:E353)</f>
        <v>782</v>
      </c>
      <c r="O347" s="8"/>
      <c r="P347" s="7"/>
    </row>
    <row r="348" spans="1:16">
      <c r="A348" s="6" t="s">
        <v>44</v>
      </c>
      <c r="B348" s="6" t="s">
        <v>982</v>
      </c>
      <c r="C348" s="6" t="s">
        <v>1355</v>
      </c>
      <c r="D348" s="6">
        <v>168</v>
      </c>
      <c r="E348" s="6">
        <v>152</v>
      </c>
      <c r="F348" s="6">
        <v>198</v>
      </c>
      <c r="G348" s="6">
        <v>137</v>
      </c>
      <c r="H348" s="6">
        <v>171</v>
      </c>
      <c r="I348" s="6">
        <v>128</v>
      </c>
      <c r="J348" s="6">
        <f t="shared" si="43"/>
        <v>954</v>
      </c>
      <c r="L348" s="6" t="s">
        <v>5</v>
      </c>
      <c r="M348" s="7">
        <f>SUM(F346:F353)</f>
        <v>806</v>
      </c>
      <c r="O348" s="8"/>
      <c r="P348" s="7"/>
    </row>
    <row r="349" spans="1:16">
      <c r="A349" s="6" t="s">
        <v>44</v>
      </c>
      <c r="B349" s="6" t="s">
        <v>1356</v>
      </c>
      <c r="C349" s="6" t="s">
        <v>1357</v>
      </c>
      <c r="D349" s="6">
        <v>131</v>
      </c>
      <c r="E349" s="6">
        <v>144</v>
      </c>
      <c r="F349" s="6">
        <v>125</v>
      </c>
      <c r="G349" s="6"/>
      <c r="H349" s="6"/>
      <c r="I349" s="6">
        <v>147</v>
      </c>
      <c r="J349" s="6">
        <f t="shared" si="43"/>
        <v>547</v>
      </c>
      <c r="L349" s="6" t="s">
        <v>6</v>
      </c>
      <c r="M349" s="7">
        <f>SUM(G346:G353)</f>
        <v>782</v>
      </c>
      <c r="O349" s="8"/>
      <c r="P349" s="7"/>
    </row>
    <row r="350" spans="1:16">
      <c r="A350" s="6" t="s">
        <v>44</v>
      </c>
      <c r="B350" s="6" t="s">
        <v>1245</v>
      </c>
      <c r="C350" s="6" t="s">
        <v>1358</v>
      </c>
      <c r="D350" s="6">
        <v>199</v>
      </c>
      <c r="E350" s="6">
        <v>149</v>
      </c>
      <c r="F350" s="6">
        <v>177</v>
      </c>
      <c r="G350" s="6">
        <v>163</v>
      </c>
      <c r="H350" s="6">
        <v>154</v>
      </c>
      <c r="I350" s="6">
        <v>165</v>
      </c>
      <c r="J350" s="6">
        <f t="shared" si="43"/>
        <v>1007</v>
      </c>
      <c r="L350" s="6" t="s">
        <v>7</v>
      </c>
      <c r="M350" s="7">
        <f>SUM(H346:H353)</f>
        <v>790</v>
      </c>
      <c r="O350" s="8"/>
      <c r="P350" s="7"/>
    </row>
    <row r="351" spans="1:16">
      <c r="A351" s="6" t="s">
        <v>44</v>
      </c>
      <c r="B351" s="6" t="s">
        <v>97</v>
      </c>
      <c r="C351" s="6" t="s">
        <v>324</v>
      </c>
      <c r="D351" s="6"/>
      <c r="E351" s="6"/>
      <c r="F351" s="6"/>
      <c r="G351" s="6">
        <v>111</v>
      </c>
      <c r="H351" s="6">
        <v>121</v>
      </c>
      <c r="I351" s="6"/>
      <c r="J351" s="6">
        <f t="shared" si="43"/>
        <v>232</v>
      </c>
      <c r="L351" s="6" t="s">
        <v>8</v>
      </c>
      <c r="M351" s="7">
        <f>SUM(I346:I353)</f>
        <v>746</v>
      </c>
      <c r="O351" s="8"/>
      <c r="P351" s="7"/>
    </row>
    <row r="352" spans="1:16">
      <c r="A352" s="6" t="s">
        <v>44</v>
      </c>
      <c r="B352" s="6"/>
      <c r="C352" s="6"/>
      <c r="D352" s="6"/>
      <c r="E352" s="6"/>
      <c r="F352" s="6"/>
      <c r="G352" s="6"/>
      <c r="H352" s="6"/>
      <c r="I352" s="6"/>
      <c r="J352" s="6">
        <f t="shared" si="43"/>
        <v>0</v>
      </c>
      <c r="L352" s="6"/>
      <c r="M352" s="7"/>
      <c r="O352" s="8"/>
      <c r="P352" s="7"/>
    </row>
    <row r="353" spans="1:16">
      <c r="A353" s="6" t="s">
        <v>44</v>
      </c>
      <c r="B353" s="6"/>
      <c r="C353" s="6"/>
      <c r="D353" s="6"/>
      <c r="E353" s="6"/>
      <c r="F353" s="6"/>
      <c r="G353" s="6"/>
      <c r="H353" s="6"/>
      <c r="I353" s="6"/>
      <c r="J353" s="6">
        <f t="shared" si="43"/>
        <v>0</v>
      </c>
      <c r="L353" s="6"/>
      <c r="M353" s="7"/>
      <c r="O353" s="8"/>
      <c r="P353" s="7"/>
    </row>
    <row r="354" spans="1:16">
      <c r="A354" s="2" t="s">
        <v>1359</v>
      </c>
      <c r="B354" s="2" t="s">
        <v>1203</v>
      </c>
      <c r="C354" s="2" t="s">
        <v>1360</v>
      </c>
      <c r="D354" s="2">
        <v>163</v>
      </c>
      <c r="E354" s="2">
        <v>169</v>
      </c>
      <c r="F354" s="2">
        <v>153</v>
      </c>
      <c r="G354" s="2"/>
      <c r="H354" s="2"/>
      <c r="I354" s="2">
        <v>215</v>
      </c>
      <c r="J354" s="3">
        <f>SUM(D354:I354)</f>
        <v>700</v>
      </c>
      <c r="L354" s="2" t="s">
        <v>3</v>
      </c>
      <c r="M354" s="3">
        <f>SUM(D354:D361)</f>
        <v>837</v>
      </c>
      <c r="O354" s="4" t="str">
        <f>A354</f>
        <v>Robert Morris - Orland Park</v>
      </c>
      <c r="P354" s="3">
        <f>SUM(M354:M359)</f>
        <v>5049</v>
      </c>
    </row>
    <row r="355" spans="1:16">
      <c r="A355" s="2" t="s">
        <v>1359</v>
      </c>
      <c r="B355" s="2" t="s">
        <v>1361</v>
      </c>
      <c r="C355" s="2" t="s">
        <v>1362</v>
      </c>
      <c r="D355" s="2">
        <v>144</v>
      </c>
      <c r="E355" s="2"/>
      <c r="F355" s="2"/>
      <c r="G355" s="2">
        <v>147</v>
      </c>
      <c r="H355" s="2"/>
      <c r="I355" s="2">
        <v>184</v>
      </c>
      <c r="J355" s="3">
        <f t="shared" ref="J355:J361" si="44">SUM(D355:I355)</f>
        <v>475</v>
      </c>
      <c r="L355" s="2" t="s">
        <v>4</v>
      </c>
      <c r="M355" s="3">
        <f>SUM(E354:E361)</f>
        <v>861</v>
      </c>
      <c r="O355" s="4"/>
      <c r="P355" s="3"/>
    </row>
    <row r="356" spans="1:16">
      <c r="A356" s="2" t="s">
        <v>1359</v>
      </c>
      <c r="B356" s="2" t="s">
        <v>1324</v>
      </c>
      <c r="C356" s="2" t="s">
        <v>1363</v>
      </c>
      <c r="D356" s="2">
        <v>170</v>
      </c>
      <c r="E356" s="2">
        <v>213</v>
      </c>
      <c r="F356" s="2">
        <v>180</v>
      </c>
      <c r="G356" s="2">
        <v>190</v>
      </c>
      <c r="H356" s="2">
        <v>128</v>
      </c>
      <c r="I356" s="2"/>
      <c r="J356" s="3">
        <f t="shared" si="44"/>
        <v>881</v>
      </c>
      <c r="L356" s="2" t="s">
        <v>5</v>
      </c>
      <c r="M356" s="3">
        <f>SUM(F354:F361)</f>
        <v>778</v>
      </c>
      <c r="O356" s="4"/>
      <c r="P356" s="3"/>
    </row>
    <row r="357" spans="1:16">
      <c r="A357" s="2" t="s">
        <v>1359</v>
      </c>
      <c r="B357" s="2" t="s">
        <v>1364</v>
      </c>
      <c r="C357" s="2" t="s">
        <v>1365</v>
      </c>
      <c r="D357" s="2"/>
      <c r="E357" s="2">
        <v>170</v>
      </c>
      <c r="F357" s="2">
        <v>173</v>
      </c>
      <c r="G357" s="2">
        <v>171</v>
      </c>
      <c r="H357" s="2">
        <v>164</v>
      </c>
      <c r="I357" s="2">
        <v>151</v>
      </c>
      <c r="J357" s="3">
        <f t="shared" si="44"/>
        <v>829</v>
      </c>
      <c r="L357" s="2" t="s">
        <v>6</v>
      </c>
      <c r="M357" s="3">
        <f>SUM(G354:G361)</f>
        <v>873</v>
      </c>
      <c r="O357" s="4"/>
      <c r="P357" s="3"/>
    </row>
    <row r="358" spans="1:16">
      <c r="A358" s="2" t="s">
        <v>1359</v>
      </c>
      <c r="B358" s="2" t="s">
        <v>193</v>
      </c>
      <c r="C358" s="2" t="s">
        <v>1366</v>
      </c>
      <c r="D358" s="2">
        <v>184</v>
      </c>
      <c r="E358" s="2">
        <v>151</v>
      </c>
      <c r="F358" s="2"/>
      <c r="G358" s="2"/>
      <c r="H358" s="2">
        <v>149</v>
      </c>
      <c r="I358" s="2">
        <v>176</v>
      </c>
      <c r="J358" s="3">
        <f t="shared" si="44"/>
        <v>660</v>
      </c>
      <c r="L358" s="2" t="s">
        <v>7</v>
      </c>
      <c r="M358" s="3">
        <f>SUM(H354:H361)</f>
        <v>779</v>
      </c>
      <c r="O358" s="4"/>
      <c r="P358" s="3"/>
    </row>
    <row r="359" spans="1:16">
      <c r="A359" s="2" t="s">
        <v>1359</v>
      </c>
      <c r="B359" s="2" t="s">
        <v>1367</v>
      </c>
      <c r="C359" s="2" t="s">
        <v>701</v>
      </c>
      <c r="D359" s="2"/>
      <c r="E359" s="2"/>
      <c r="F359" s="2"/>
      <c r="G359" s="2">
        <v>161</v>
      </c>
      <c r="H359" s="2">
        <v>143</v>
      </c>
      <c r="I359" s="2"/>
      <c r="J359" s="3">
        <f t="shared" si="44"/>
        <v>304</v>
      </c>
      <c r="L359" s="2" t="s">
        <v>8</v>
      </c>
      <c r="M359" s="3">
        <f>SUM(I354:I361)</f>
        <v>921</v>
      </c>
      <c r="O359" s="4"/>
      <c r="P359" s="3"/>
    </row>
    <row r="360" spans="1:16">
      <c r="A360" s="2" t="s">
        <v>1359</v>
      </c>
      <c r="B360" s="2" t="s">
        <v>1368</v>
      </c>
      <c r="C360" s="2" t="s">
        <v>1369</v>
      </c>
      <c r="D360" s="2"/>
      <c r="E360" s="2"/>
      <c r="F360" s="2">
        <v>105</v>
      </c>
      <c r="G360" s="2"/>
      <c r="H360" s="2"/>
      <c r="I360" s="2"/>
      <c r="J360" s="3">
        <f t="shared" si="44"/>
        <v>105</v>
      </c>
      <c r="L360" s="3"/>
      <c r="M360" s="3"/>
      <c r="O360" s="4"/>
      <c r="P360" s="3"/>
    </row>
    <row r="361" spans="1:16">
      <c r="A361" s="4" t="s">
        <v>1359</v>
      </c>
      <c r="B361" s="2" t="s">
        <v>1036</v>
      </c>
      <c r="C361" s="2" t="s">
        <v>1370</v>
      </c>
      <c r="D361" s="2">
        <v>176</v>
      </c>
      <c r="E361" s="2">
        <v>158</v>
      </c>
      <c r="F361" s="2">
        <v>167</v>
      </c>
      <c r="G361" s="2">
        <v>204</v>
      </c>
      <c r="H361" s="2">
        <v>195</v>
      </c>
      <c r="I361" s="2">
        <v>195</v>
      </c>
      <c r="J361" s="3">
        <f t="shared" si="44"/>
        <v>1095</v>
      </c>
      <c r="L361" s="2"/>
      <c r="M361" s="3"/>
      <c r="O361" s="4"/>
      <c r="P361" s="3"/>
    </row>
    <row r="362" spans="1:16">
      <c r="A362" s="6" t="s">
        <v>84</v>
      </c>
      <c r="B362" s="6" t="s">
        <v>1152</v>
      </c>
      <c r="C362" s="6" t="s">
        <v>1371</v>
      </c>
      <c r="D362" s="6">
        <v>130</v>
      </c>
      <c r="E362" s="6">
        <v>152</v>
      </c>
      <c r="F362" s="6">
        <v>116</v>
      </c>
      <c r="G362" s="6"/>
      <c r="H362" s="6">
        <v>167</v>
      </c>
      <c r="I362" s="6">
        <v>159</v>
      </c>
      <c r="J362" s="6">
        <f>SUM(D362:I362)</f>
        <v>724</v>
      </c>
      <c r="L362" s="6" t="s">
        <v>3</v>
      </c>
      <c r="M362" s="7">
        <f>SUM(D362:D369)</f>
        <v>808</v>
      </c>
      <c r="O362" s="8" t="str">
        <f>A362</f>
        <v>Davenport</v>
      </c>
      <c r="P362" s="7">
        <f>SUM(M362:M367)</f>
        <v>4484</v>
      </c>
    </row>
    <row r="363" spans="1:16">
      <c r="A363" s="6" t="s">
        <v>84</v>
      </c>
      <c r="B363" s="6" t="s">
        <v>1063</v>
      </c>
      <c r="C363" s="6" t="s">
        <v>1372</v>
      </c>
      <c r="D363" s="6">
        <v>177</v>
      </c>
      <c r="E363" s="6">
        <v>188</v>
      </c>
      <c r="F363" s="6">
        <v>139</v>
      </c>
      <c r="G363" s="6">
        <v>129</v>
      </c>
      <c r="H363" s="6">
        <v>166</v>
      </c>
      <c r="I363" s="6">
        <v>135</v>
      </c>
      <c r="J363" s="6">
        <f t="shared" ref="J363:J369" si="45">SUM(D363:I363)</f>
        <v>934</v>
      </c>
      <c r="L363" s="6" t="s">
        <v>4</v>
      </c>
      <c r="M363" s="7">
        <f>SUM(E362:E369)</f>
        <v>841</v>
      </c>
      <c r="O363" s="8"/>
      <c r="P363" s="7"/>
    </row>
    <row r="364" spans="1:16">
      <c r="A364" s="6" t="s">
        <v>84</v>
      </c>
      <c r="B364" s="6" t="s">
        <v>1015</v>
      </c>
      <c r="C364" s="6" t="s">
        <v>1373</v>
      </c>
      <c r="D364" s="6"/>
      <c r="E364" s="6">
        <v>135</v>
      </c>
      <c r="F364" s="6">
        <v>112</v>
      </c>
      <c r="G364" s="6">
        <v>144</v>
      </c>
      <c r="H364" s="6"/>
      <c r="I364" s="6"/>
      <c r="J364" s="6">
        <f t="shared" si="45"/>
        <v>391</v>
      </c>
      <c r="L364" s="6" t="s">
        <v>5</v>
      </c>
      <c r="M364" s="7">
        <f>SUM(F362:F369)</f>
        <v>651</v>
      </c>
      <c r="O364" s="8"/>
      <c r="P364" s="7"/>
    </row>
    <row r="365" spans="1:16">
      <c r="A365" s="6" t="s">
        <v>84</v>
      </c>
      <c r="B365" s="6" t="s">
        <v>128</v>
      </c>
      <c r="C365" s="6" t="s">
        <v>1374</v>
      </c>
      <c r="D365" s="6">
        <v>133</v>
      </c>
      <c r="E365" s="6"/>
      <c r="F365" s="6"/>
      <c r="G365" s="6">
        <v>150</v>
      </c>
      <c r="H365" s="6"/>
      <c r="I365" s="6">
        <v>148</v>
      </c>
      <c r="J365" s="6">
        <f t="shared" si="45"/>
        <v>431</v>
      </c>
      <c r="L365" s="6" t="s">
        <v>6</v>
      </c>
      <c r="M365" s="7">
        <f>SUM(G362:G369)</f>
        <v>681</v>
      </c>
      <c r="O365" s="8"/>
      <c r="P365" s="7"/>
    </row>
    <row r="366" spans="1:16">
      <c r="A366" s="6" t="s">
        <v>84</v>
      </c>
      <c r="B366" s="6" t="s">
        <v>1375</v>
      </c>
      <c r="C366" s="6" t="s">
        <v>1376</v>
      </c>
      <c r="D366" s="6"/>
      <c r="E366" s="6"/>
      <c r="F366" s="6"/>
      <c r="G366" s="6"/>
      <c r="H366" s="6">
        <v>118</v>
      </c>
      <c r="I366" s="6"/>
      <c r="J366" s="6">
        <f t="shared" si="45"/>
        <v>118</v>
      </c>
      <c r="L366" s="6" t="s">
        <v>7</v>
      </c>
      <c r="M366" s="7">
        <f>SUM(H362:H369)</f>
        <v>753</v>
      </c>
      <c r="O366" s="8"/>
      <c r="P366" s="7"/>
    </row>
    <row r="367" spans="1:16">
      <c r="A367" s="6" t="s">
        <v>84</v>
      </c>
      <c r="B367" s="6" t="s">
        <v>914</v>
      </c>
      <c r="C367" s="6" t="s">
        <v>1377</v>
      </c>
      <c r="D367" s="6">
        <v>159</v>
      </c>
      <c r="E367" s="6">
        <v>210</v>
      </c>
      <c r="F367" s="6">
        <v>130</v>
      </c>
      <c r="G367" s="6">
        <v>134</v>
      </c>
      <c r="H367" s="6">
        <v>142</v>
      </c>
      <c r="I367" s="6">
        <v>172</v>
      </c>
      <c r="J367" s="6">
        <f t="shared" si="45"/>
        <v>947</v>
      </c>
      <c r="L367" s="6" t="s">
        <v>8</v>
      </c>
      <c r="M367" s="7">
        <f>SUM(I362:I369)</f>
        <v>750</v>
      </c>
      <c r="O367" s="8"/>
      <c r="P367" s="7"/>
    </row>
    <row r="368" spans="1:16">
      <c r="A368" s="6" t="s">
        <v>84</v>
      </c>
      <c r="B368" s="6" t="s">
        <v>939</v>
      </c>
      <c r="C368" s="6" t="s">
        <v>372</v>
      </c>
      <c r="D368" s="6">
        <v>209</v>
      </c>
      <c r="E368" s="6">
        <v>156</v>
      </c>
      <c r="F368" s="6">
        <v>154</v>
      </c>
      <c r="G368" s="6">
        <v>124</v>
      </c>
      <c r="H368" s="6">
        <v>160</v>
      </c>
      <c r="I368" s="6">
        <v>136</v>
      </c>
      <c r="J368" s="6">
        <f t="shared" si="45"/>
        <v>939</v>
      </c>
      <c r="L368" s="6"/>
      <c r="M368" s="7"/>
      <c r="O368" s="8"/>
      <c r="P368" s="7"/>
    </row>
    <row r="369" spans="1:16">
      <c r="A369" s="6" t="s">
        <v>84</v>
      </c>
      <c r="B369" s="6"/>
      <c r="C369" s="6"/>
      <c r="D369" s="6"/>
      <c r="E369" s="6"/>
      <c r="F369" s="6"/>
      <c r="G369" s="6"/>
      <c r="H369" s="6"/>
      <c r="I369" s="6"/>
      <c r="J369" s="6">
        <f t="shared" si="45"/>
        <v>0</v>
      </c>
      <c r="L369" s="6"/>
      <c r="M369" s="7"/>
      <c r="O369" s="8"/>
      <c r="P369" s="7"/>
    </row>
    <row r="370" spans="1:16">
      <c r="A370" s="2" t="s">
        <v>514</v>
      </c>
      <c r="B370" s="2" t="s">
        <v>1327</v>
      </c>
      <c r="C370" s="2" t="s">
        <v>1378</v>
      </c>
      <c r="D370" s="2">
        <v>151</v>
      </c>
      <c r="E370" s="2">
        <v>207</v>
      </c>
      <c r="F370" s="2">
        <v>161</v>
      </c>
      <c r="G370" s="2">
        <v>153</v>
      </c>
      <c r="H370" s="2">
        <v>128</v>
      </c>
      <c r="I370" s="2"/>
      <c r="J370" s="3">
        <f>SUM(D370:I370)</f>
        <v>800</v>
      </c>
      <c r="L370" s="2" t="s">
        <v>3</v>
      </c>
      <c r="M370" s="3">
        <f>SUM(D370:D377)</f>
        <v>976</v>
      </c>
      <c r="O370" s="4" t="str">
        <f>A370</f>
        <v>Martin Methodist</v>
      </c>
      <c r="P370" s="3">
        <f>SUM(M370:M375)</f>
        <v>5222</v>
      </c>
    </row>
    <row r="371" spans="1:16">
      <c r="A371" s="2" t="s">
        <v>514</v>
      </c>
      <c r="B371" s="2" t="s">
        <v>1379</v>
      </c>
      <c r="C371" s="2" t="s">
        <v>1380</v>
      </c>
      <c r="D371" s="2">
        <v>225</v>
      </c>
      <c r="E371" s="2">
        <v>182</v>
      </c>
      <c r="F371" s="2">
        <v>178</v>
      </c>
      <c r="G371" s="2">
        <v>232</v>
      </c>
      <c r="H371" s="2">
        <v>205</v>
      </c>
      <c r="I371" s="2">
        <v>220</v>
      </c>
      <c r="J371" s="3">
        <f t="shared" ref="J371:J377" si="46">SUM(D371:I371)</f>
        <v>1242</v>
      </c>
      <c r="L371" s="2" t="s">
        <v>4</v>
      </c>
      <c r="M371" s="3">
        <f>SUM(E370:E377)</f>
        <v>893</v>
      </c>
      <c r="O371" s="4"/>
      <c r="P371" s="3"/>
    </row>
    <row r="372" spans="1:16">
      <c r="A372" s="2" t="s">
        <v>514</v>
      </c>
      <c r="B372" s="2" t="s">
        <v>893</v>
      </c>
      <c r="C372" s="2" t="s">
        <v>84</v>
      </c>
      <c r="D372" s="2"/>
      <c r="E372" s="2"/>
      <c r="F372" s="2">
        <v>125</v>
      </c>
      <c r="G372" s="2"/>
      <c r="H372" s="2"/>
      <c r="I372" s="2">
        <v>147</v>
      </c>
      <c r="J372" s="3">
        <f t="shared" si="46"/>
        <v>272</v>
      </c>
      <c r="L372" s="2" t="s">
        <v>5</v>
      </c>
      <c r="M372" s="3">
        <f>SUM(F370:F377)</f>
        <v>743</v>
      </c>
      <c r="O372" s="4"/>
      <c r="P372" s="3"/>
    </row>
    <row r="373" spans="1:16">
      <c r="A373" s="2" t="s">
        <v>514</v>
      </c>
      <c r="B373" s="2" t="s">
        <v>1172</v>
      </c>
      <c r="C373" s="2" t="s">
        <v>1381</v>
      </c>
      <c r="D373" s="2">
        <v>253</v>
      </c>
      <c r="E373" s="2">
        <v>183</v>
      </c>
      <c r="F373" s="2">
        <v>134</v>
      </c>
      <c r="G373" s="2">
        <v>167</v>
      </c>
      <c r="H373" s="2">
        <v>169</v>
      </c>
      <c r="I373" s="2">
        <v>164</v>
      </c>
      <c r="J373" s="3">
        <f t="shared" si="46"/>
        <v>1070</v>
      </c>
      <c r="L373" s="2" t="s">
        <v>6</v>
      </c>
      <c r="M373" s="3">
        <f>SUM(G370:G377)</f>
        <v>941</v>
      </c>
      <c r="O373" s="4"/>
      <c r="P373" s="3"/>
    </row>
    <row r="374" spans="1:16">
      <c r="A374" s="2" t="s">
        <v>514</v>
      </c>
      <c r="B374" s="2" t="s">
        <v>467</v>
      </c>
      <c r="C374" s="2" t="s">
        <v>1382</v>
      </c>
      <c r="D374" s="2"/>
      <c r="E374" s="2"/>
      <c r="F374" s="2"/>
      <c r="G374" s="2">
        <v>194</v>
      </c>
      <c r="H374" s="2">
        <v>160</v>
      </c>
      <c r="I374" s="2">
        <v>159</v>
      </c>
      <c r="J374" s="3">
        <f t="shared" si="46"/>
        <v>513</v>
      </c>
      <c r="L374" s="2" t="s">
        <v>7</v>
      </c>
      <c r="M374" s="3">
        <f>SUM(H370:H377)</f>
        <v>801</v>
      </c>
      <c r="O374" s="4"/>
      <c r="P374" s="3"/>
    </row>
    <row r="375" spans="1:16">
      <c r="A375" s="2" t="s">
        <v>514</v>
      </c>
      <c r="B375" s="2" t="s">
        <v>1383</v>
      </c>
      <c r="C375" s="2" t="s">
        <v>1384</v>
      </c>
      <c r="D375" s="2">
        <v>188</v>
      </c>
      <c r="E375" s="2">
        <v>168</v>
      </c>
      <c r="F375" s="2">
        <v>145</v>
      </c>
      <c r="G375" s="2">
        <v>195</v>
      </c>
      <c r="H375" s="2">
        <v>139</v>
      </c>
      <c r="I375" s="2"/>
      <c r="J375" s="3">
        <f t="shared" si="46"/>
        <v>835</v>
      </c>
      <c r="L375" s="2" t="s">
        <v>8</v>
      </c>
      <c r="M375" s="3">
        <f>SUM(I370:I377)</f>
        <v>868</v>
      </c>
      <c r="O375" s="4"/>
      <c r="P375" s="3"/>
    </row>
    <row r="376" spans="1:16">
      <c r="A376" s="2" t="s">
        <v>514</v>
      </c>
      <c r="B376" s="2" t="s">
        <v>926</v>
      </c>
      <c r="C376" s="2" t="s">
        <v>1385</v>
      </c>
      <c r="D376" s="2">
        <v>159</v>
      </c>
      <c r="E376" s="2">
        <v>153</v>
      </c>
      <c r="F376" s="2"/>
      <c r="G376" s="2"/>
      <c r="H376" s="2"/>
      <c r="I376" s="2">
        <v>178</v>
      </c>
      <c r="J376" s="3">
        <f t="shared" si="46"/>
        <v>490</v>
      </c>
      <c r="L376" s="3"/>
      <c r="M376" s="3"/>
      <c r="O376" s="4"/>
      <c r="P376" s="3"/>
    </row>
    <row r="377" spans="1:16">
      <c r="A377" s="4" t="s">
        <v>514</v>
      </c>
      <c r="B377" s="2"/>
      <c r="C377" s="2"/>
      <c r="D377" s="2"/>
      <c r="E377" s="2"/>
      <c r="F377" s="2"/>
      <c r="G377" s="2"/>
      <c r="H377" s="2"/>
      <c r="I377" s="2"/>
      <c r="J377" s="3">
        <f t="shared" si="46"/>
        <v>0</v>
      </c>
      <c r="L377" s="2"/>
      <c r="M377" s="3"/>
      <c r="O377" s="4"/>
      <c r="P377" s="3"/>
    </row>
    <row r="378" spans="1:16">
      <c r="A378" s="6" t="s">
        <v>720</v>
      </c>
      <c r="B378" s="6" t="s">
        <v>1080</v>
      </c>
      <c r="C378" s="6" t="s">
        <v>1386</v>
      </c>
      <c r="D378" s="6"/>
      <c r="E378" s="6">
        <v>142</v>
      </c>
      <c r="F378" s="6"/>
      <c r="G378" s="6">
        <v>173</v>
      </c>
      <c r="H378" s="6"/>
      <c r="I378" s="6"/>
      <c r="J378" s="6">
        <f>SUM(D378:I378)</f>
        <v>315</v>
      </c>
      <c r="L378" s="6" t="s">
        <v>3</v>
      </c>
      <c r="M378" s="7">
        <f>SUM(D378:D385)</f>
        <v>837</v>
      </c>
      <c r="O378" s="8" t="str">
        <f>A378</f>
        <v>Siena Heights</v>
      </c>
      <c r="P378" s="7">
        <f>SUM(M378:M383)</f>
        <v>4995</v>
      </c>
    </row>
    <row r="379" spans="1:16">
      <c r="A379" s="6" t="s">
        <v>720</v>
      </c>
      <c r="B379" s="6" t="s">
        <v>1084</v>
      </c>
      <c r="C379" s="6" t="s">
        <v>1387</v>
      </c>
      <c r="D379" s="6"/>
      <c r="E379" s="6"/>
      <c r="F379" s="6">
        <v>141</v>
      </c>
      <c r="G379" s="6"/>
      <c r="H379" s="6"/>
      <c r="I379" s="6"/>
      <c r="J379" s="6">
        <f t="shared" ref="J379:J385" si="47">SUM(D379:I379)</f>
        <v>141</v>
      </c>
      <c r="L379" s="6" t="s">
        <v>4</v>
      </c>
      <c r="M379" s="7">
        <f>SUM(E378:E385)</f>
        <v>802</v>
      </c>
      <c r="O379" s="8"/>
      <c r="P379" s="7"/>
    </row>
    <row r="380" spans="1:16">
      <c r="A380" s="6" t="s">
        <v>720</v>
      </c>
      <c r="B380" s="6" t="s">
        <v>1388</v>
      </c>
      <c r="C380" s="6" t="s">
        <v>1389</v>
      </c>
      <c r="D380" s="6">
        <v>178</v>
      </c>
      <c r="E380" s="6">
        <v>167</v>
      </c>
      <c r="F380" s="6">
        <v>139</v>
      </c>
      <c r="G380" s="6"/>
      <c r="H380" s="6">
        <v>192</v>
      </c>
      <c r="I380" s="6">
        <v>139</v>
      </c>
      <c r="J380" s="6">
        <f t="shared" si="47"/>
        <v>815</v>
      </c>
      <c r="L380" s="6" t="s">
        <v>5</v>
      </c>
      <c r="M380" s="7">
        <f>SUM(F378:F385)</f>
        <v>881</v>
      </c>
      <c r="O380" s="8"/>
      <c r="P380" s="7"/>
    </row>
    <row r="381" spans="1:16">
      <c r="A381" s="6" t="s">
        <v>720</v>
      </c>
      <c r="B381" s="6" t="s">
        <v>939</v>
      </c>
      <c r="C381" s="6" t="s">
        <v>1390</v>
      </c>
      <c r="D381" s="6">
        <v>161</v>
      </c>
      <c r="E381" s="6">
        <v>119</v>
      </c>
      <c r="F381" s="6">
        <v>204</v>
      </c>
      <c r="G381" s="6">
        <v>190</v>
      </c>
      <c r="H381" s="6">
        <v>170</v>
      </c>
      <c r="I381" s="6">
        <v>134</v>
      </c>
      <c r="J381" s="6">
        <f t="shared" si="47"/>
        <v>978</v>
      </c>
      <c r="L381" s="6" t="s">
        <v>6</v>
      </c>
      <c r="M381" s="7">
        <f>SUM(G378:G385)</f>
        <v>869</v>
      </c>
      <c r="O381" s="8"/>
      <c r="P381" s="7"/>
    </row>
    <row r="382" spans="1:16">
      <c r="A382" s="6" t="s">
        <v>720</v>
      </c>
      <c r="B382" s="6" t="s">
        <v>1391</v>
      </c>
      <c r="C382" s="6" t="s">
        <v>756</v>
      </c>
      <c r="D382" s="6"/>
      <c r="E382" s="6"/>
      <c r="F382" s="6">
        <v>181</v>
      </c>
      <c r="G382" s="6">
        <v>191</v>
      </c>
      <c r="H382" s="6">
        <v>146</v>
      </c>
      <c r="I382" s="6">
        <v>150</v>
      </c>
      <c r="J382" s="6">
        <f t="shared" si="47"/>
        <v>668</v>
      </c>
      <c r="L382" s="6" t="s">
        <v>7</v>
      </c>
      <c r="M382" s="7">
        <f>SUM(H378:H385)</f>
        <v>810</v>
      </c>
      <c r="O382" s="8"/>
      <c r="P382" s="7"/>
    </row>
    <row r="383" spans="1:16">
      <c r="A383" s="6" t="s">
        <v>720</v>
      </c>
      <c r="B383" s="6" t="s">
        <v>1392</v>
      </c>
      <c r="C383" s="6" t="s">
        <v>1393</v>
      </c>
      <c r="D383" s="6">
        <v>141</v>
      </c>
      <c r="E383" s="6">
        <v>176</v>
      </c>
      <c r="F383" s="6"/>
      <c r="G383" s="6">
        <v>155</v>
      </c>
      <c r="H383" s="6">
        <v>148</v>
      </c>
      <c r="I383" s="6">
        <v>172</v>
      </c>
      <c r="J383" s="6">
        <f t="shared" si="47"/>
        <v>792</v>
      </c>
      <c r="L383" s="6" t="s">
        <v>8</v>
      </c>
      <c r="M383" s="7">
        <f>SUM(I378:I385)</f>
        <v>796</v>
      </c>
      <c r="O383" s="8"/>
      <c r="P383" s="7"/>
    </row>
    <row r="384" spans="1:16">
      <c r="A384" s="6" t="s">
        <v>720</v>
      </c>
      <c r="B384" s="6" t="s">
        <v>1392</v>
      </c>
      <c r="C384" s="6" t="s">
        <v>500</v>
      </c>
      <c r="D384" s="6">
        <v>187</v>
      </c>
      <c r="E384" s="6">
        <v>198</v>
      </c>
      <c r="F384" s="6">
        <v>216</v>
      </c>
      <c r="G384" s="6">
        <v>160</v>
      </c>
      <c r="H384" s="6">
        <v>154</v>
      </c>
      <c r="I384" s="6">
        <v>201</v>
      </c>
      <c r="J384" s="6">
        <f t="shared" si="47"/>
        <v>1116</v>
      </c>
      <c r="L384" s="6"/>
      <c r="M384" s="7"/>
      <c r="O384" s="8"/>
      <c r="P384" s="7"/>
    </row>
    <row r="385" spans="1:16">
      <c r="A385" s="6" t="s">
        <v>720</v>
      </c>
      <c r="B385" s="6" t="s">
        <v>1394</v>
      </c>
      <c r="C385" s="6" t="s">
        <v>1395</v>
      </c>
      <c r="D385" s="6">
        <v>170</v>
      </c>
      <c r="E385" s="6"/>
      <c r="F385" s="6"/>
      <c r="G385" s="6"/>
      <c r="H385" s="6"/>
      <c r="I385" s="6"/>
      <c r="J385" s="6">
        <f t="shared" si="47"/>
        <v>170</v>
      </c>
      <c r="L385" s="6"/>
      <c r="M385" s="7"/>
      <c r="O385" s="8"/>
      <c r="P385" s="7"/>
    </row>
    <row r="386" spans="1:16">
      <c r="A386" s="2" t="s">
        <v>490</v>
      </c>
      <c r="B386" s="2" t="s">
        <v>1038</v>
      </c>
      <c r="C386" s="2" t="s">
        <v>1396</v>
      </c>
      <c r="D386" s="2"/>
      <c r="E386" s="2">
        <v>178</v>
      </c>
      <c r="F386" s="2">
        <v>186</v>
      </c>
      <c r="G386" s="2">
        <v>197</v>
      </c>
      <c r="H386" s="2">
        <v>177</v>
      </c>
      <c r="I386" s="2">
        <v>170</v>
      </c>
      <c r="J386" s="3">
        <f>SUM(D386:I386)</f>
        <v>908</v>
      </c>
      <c r="L386" s="2" t="s">
        <v>3</v>
      </c>
      <c r="M386" s="3">
        <f>SUM(D386:D393)</f>
        <v>921</v>
      </c>
      <c r="O386" s="4" t="str">
        <f>A386</f>
        <v>Iowa Central CC</v>
      </c>
      <c r="P386" s="3">
        <f>SUM(M386:M391)</f>
        <v>5040</v>
      </c>
    </row>
    <row r="387" spans="1:16">
      <c r="A387" s="2" t="s">
        <v>490</v>
      </c>
      <c r="B387" s="2" t="s">
        <v>1397</v>
      </c>
      <c r="C387" s="2" t="s">
        <v>1398</v>
      </c>
      <c r="D387" s="2">
        <v>194</v>
      </c>
      <c r="E387" s="2">
        <v>173</v>
      </c>
      <c r="F387" s="2">
        <v>158</v>
      </c>
      <c r="G387" s="2">
        <v>167</v>
      </c>
      <c r="H387" s="2">
        <v>168</v>
      </c>
      <c r="I387" s="2">
        <v>138</v>
      </c>
      <c r="J387" s="3">
        <f t="shared" ref="J387:J393" si="48">SUM(D387:I387)</f>
        <v>998</v>
      </c>
      <c r="L387" s="2" t="s">
        <v>4</v>
      </c>
      <c r="M387" s="3">
        <f>SUM(E386:E393)</f>
        <v>796</v>
      </c>
      <c r="O387" s="4"/>
      <c r="P387" s="3"/>
    </row>
    <row r="388" spans="1:16">
      <c r="A388" s="2" t="s">
        <v>490</v>
      </c>
      <c r="B388" s="2" t="s">
        <v>1000</v>
      </c>
      <c r="C388" s="2" t="s">
        <v>1399</v>
      </c>
      <c r="D388" s="2">
        <v>167</v>
      </c>
      <c r="E388" s="2">
        <v>144</v>
      </c>
      <c r="F388" s="2"/>
      <c r="G388" s="2"/>
      <c r="H388" s="2">
        <v>140</v>
      </c>
      <c r="I388" s="2"/>
      <c r="J388" s="3">
        <f t="shared" si="48"/>
        <v>451</v>
      </c>
      <c r="L388" s="2" t="s">
        <v>5</v>
      </c>
      <c r="M388" s="3">
        <f>SUM(F386:F393)</f>
        <v>838</v>
      </c>
      <c r="O388" s="4"/>
      <c r="P388" s="3"/>
    </row>
    <row r="389" spans="1:16">
      <c r="A389" s="2" t="s">
        <v>490</v>
      </c>
      <c r="B389" s="2" t="s">
        <v>1400</v>
      </c>
      <c r="C389" s="2" t="s">
        <v>1401</v>
      </c>
      <c r="D389" s="2">
        <v>161</v>
      </c>
      <c r="E389" s="2"/>
      <c r="F389" s="2">
        <v>160</v>
      </c>
      <c r="G389" s="2">
        <v>145</v>
      </c>
      <c r="H389" s="2"/>
      <c r="I389" s="2"/>
      <c r="J389" s="3">
        <f t="shared" si="48"/>
        <v>466</v>
      </c>
      <c r="L389" s="2" t="s">
        <v>6</v>
      </c>
      <c r="M389" s="3">
        <f>SUM(G386:G393)</f>
        <v>846</v>
      </c>
      <c r="O389" s="4"/>
      <c r="P389" s="3"/>
    </row>
    <row r="390" spans="1:16">
      <c r="A390" s="2" t="s">
        <v>490</v>
      </c>
      <c r="B390" s="2" t="s">
        <v>1270</v>
      </c>
      <c r="C390" s="2" t="s">
        <v>1402</v>
      </c>
      <c r="D390" s="2"/>
      <c r="E390" s="2"/>
      <c r="F390" s="2"/>
      <c r="G390" s="2"/>
      <c r="H390" s="2"/>
      <c r="I390" s="2"/>
      <c r="J390" s="3">
        <f t="shared" si="48"/>
        <v>0</v>
      </c>
      <c r="L390" s="2" t="s">
        <v>7</v>
      </c>
      <c r="M390" s="3">
        <f>SUM(H386:H393)</f>
        <v>837</v>
      </c>
      <c r="O390" s="4"/>
      <c r="P390" s="3"/>
    </row>
    <row r="391" spans="1:16">
      <c r="A391" s="2" t="s">
        <v>490</v>
      </c>
      <c r="B391" s="2" t="s">
        <v>1403</v>
      </c>
      <c r="C391" s="2" t="s">
        <v>1404</v>
      </c>
      <c r="D391" s="2"/>
      <c r="E391" s="2"/>
      <c r="F391" s="2">
        <v>152</v>
      </c>
      <c r="G391" s="2"/>
      <c r="H391" s="2"/>
      <c r="I391" s="2">
        <v>112</v>
      </c>
      <c r="J391" s="3">
        <f t="shared" si="48"/>
        <v>264</v>
      </c>
      <c r="L391" s="2" t="s">
        <v>8</v>
      </c>
      <c r="M391" s="3">
        <f>SUM(I386:I393)</f>
        <v>802</v>
      </c>
      <c r="O391" s="4"/>
      <c r="P391" s="3"/>
    </row>
    <row r="392" spans="1:16">
      <c r="A392" s="2" t="s">
        <v>490</v>
      </c>
      <c r="B392" s="2" t="s">
        <v>1170</v>
      </c>
      <c r="C392" s="2" t="s">
        <v>1405</v>
      </c>
      <c r="D392" s="2">
        <v>218</v>
      </c>
      <c r="E392" s="2">
        <v>171</v>
      </c>
      <c r="F392" s="2">
        <v>182</v>
      </c>
      <c r="G392" s="2">
        <v>157</v>
      </c>
      <c r="H392" s="2">
        <v>186</v>
      </c>
      <c r="I392" s="2">
        <v>203</v>
      </c>
      <c r="J392" s="3">
        <f t="shared" si="48"/>
        <v>1117</v>
      </c>
      <c r="L392" s="3"/>
      <c r="M392" s="3"/>
      <c r="O392" s="4"/>
      <c r="P392" s="3"/>
    </row>
    <row r="393" spans="1:16">
      <c r="A393" s="2" t="s">
        <v>490</v>
      </c>
      <c r="B393" s="2" t="s">
        <v>378</v>
      </c>
      <c r="C393" s="2" t="s">
        <v>1406</v>
      </c>
      <c r="D393" s="2">
        <v>181</v>
      </c>
      <c r="E393" s="2">
        <v>130</v>
      </c>
      <c r="F393" s="2"/>
      <c r="G393" s="2">
        <v>180</v>
      </c>
      <c r="H393" s="2">
        <v>166</v>
      </c>
      <c r="I393" s="2">
        <v>179</v>
      </c>
      <c r="J393" s="3">
        <f t="shared" si="48"/>
        <v>836</v>
      </c>
      <c r="L393" s="2"/>
      <c r="M393" s="3"/>
      <c r="O393" s="4"/>
      <c r="P393" s="3"/>
    </row>
    <row r="394" spans="1:16">
      <c r="A394" s="6" t="s">
        <v>154</v>
      </c>
      <c r="B394" s="6" t="s">
        <v>1407</v>
      </c>
      <c r="C394" s="6" t="s">
        <v>1023</v>
      </c>
      <c r="D394" s="6">
        <v>182</v>
      </c>
      <c r="E394" s="6">
        <v>151</v>
      </c>
      <c r="F394" s="6">
        <v>142</v>
      </c>
      <c r="G394" s="6">
        <v>145</v>
      </c>
      <c r="H394" s="6">
        <v>171</v>
      </c>
      <c r="I394" s="6">
        <v>148</v>
      </c>
      <c r="J394" s="6">
        <f>SUM(D394:I394)</f>
        <v>939</v>
      </c>
      <c r="L394" s="6" t="s">
        <v>3</v>
      </c>
      <c r="M394" s="7">
        <f>SUM(D394:D401)</f>
        <v>877</v>
      </c>
      <c r="O394" s="8" t="str">
        <f>A394</f>
        <v>West Texas A&amp;M</v>
      </c>
      <c r="P394" s="7">
        <f>SUM(M394:M399)</f>
        <v>5366</v>
      </c>
    </row>
    <row r="395" spans="1:16">
      <c r="A395" s="6" t="s">
        <v>154</v>
      </c>
      <c r="B395" s="6" t="s">
        <v>1408</v>
      </c>
      <c r="C395" s="6" t="s">
        <v>1409</v>
      </c>
      <c r="D395" s="6">
        <v>197</v>
      </c>
      <c r="E395" s="6">
        <v>172</v>
      </c>
      <c r="F395" s="6">
        <v>188</v>
      </c>
      <c r="G395" s="6">
        <v>209</v>
      </c>
      <c r="H395" s="6">
        <v>189</v>
      </c>
      <c r="I395" s="6">
        <v>194</v>
      </c>
      <c r="J395" s="6">
        <f t="shared" ref="J395:J401" si="49">SUM(D395:I395)</f>
        <v>1149</v>
      </c>
      <c r="L395" s="6" t="s">
        <v>4</v>
      </c>
      <c r="M395" s="7">
        <f>SUM(E394:E401)</f>
        <v>919</v>
      </c>
      <c r="O395" s="8"/>
      <c r="P395" s="7"/>
    </row>
    <row r="396" spans="1:16">
      <c r="A396" s="6" t="s">
        <v>154</v>
      </c>
      <c r="B396" s="6" t="s">
        <v>394</v>
      </c>
      <c r="C396" s="6" t="s">
        <v>156</v>
      </c>
      <c r="D396" s="6"/>
      <c r="E396" s="6">
        <v>212</v>
      </c>
      <c r="F396" s="6">
        <v>173</v>
      </c>
      <c r="G396" s="6">
        <v>169</v>
      </c>
      <c r="H396" s="6">
        <v>181</v>
      </c>
      <c r="I396" s="6">
        <v>154</v>
      </c>
      <c r="J396" s="6">
        <f t="shared" si="49"/>
        <v>889</v>
      </c>
      <c r="L396" s="6" t="s">
        <v>5</v>
      </c>
      <c r="M396" s="7">
        <f>SUM(F394:F401)</f>
        <v>915</v>
      </c>
      <c r="O396" s="8"/>
      <c r="P396" s="7"/>
    </row>
    <row r="397" spans="1:16">
      <c r="A397" s="6" t="s">
        <v>154</v>
      </c>
      <c r="B397" s="6" t="s">
        <v>1410</v>
      </c>
      <c r="C397" s="6" t="s">
        <v>1411</v>
      </c>
      <c r="D397" s="6">
        <v>195</v>
      </c>
      <c r="E397" s="6">
        <v>248</v>
      </c>
      <c r="F397" s="6">
        <v>170</v>
      </c>
      <c r="G397" s="6">
        <v>154</v>
      </c>
      <c r="H397" s="6">
        <v>204</v>
      </c>
      <c r="I397" s="6">
        <v>171</v>
      </c>
      <c r="J397" s="6">
        <f t="shared" si="49"/>
        <v>1142</v>
      </c>
      <c r="L397" s="6" t="s">
        <v>6</v>
      </c>
      <c r="M397" s="7">
        <f>SUM(G394:G401)</f>
        <v>886</v>
      </c>
      <c r="O397" s="8"/>
      <c r="P397" s="7"/>
    </row>
    <row r="398" spans="1:16">
      <c r="A398" s="6" t="s">
        <v>154</v>
      </c>
      <c r="B398" s="6" t="s">
        <v>202</v>
      </c>
      <c r="C398" s="6" t="s">
        <v>330</v>
      </c>
      <c r="D398" s="6">
        <v>170</v>
      </c>
      <c r="E398" s="6">
        <v>136</v>
      </c>
      <c r="F398" s="6"/>
      <c r="G398" s="6"/>
      <c r="H398" s="6"/>
      <c r="I398" s="6"/>
      <c r="J398" s="6">
        <f t="shared" si="49"/>
        <v>306</v>
      </c>
      <c r="L398" s="6" t="s">
        <v>7</v>
      </c>
      <c r="M398" s="7">
        <f>SUM(H394:H401)</f>
        <v>913</v>
      </c>
      <c r="O398" s="8"/>
      <c r="P398" s="7"/>
    </row>
    <row r="399" spans="1:16">
      <c r="A399" s="6" t="s">
        <v>154</v>
      </c>
      <c r="B399" s="6" t="s">
        <v>974</v>
      </c>
      <c r="C399" s="6" t="s">
        <v>1412</v>
      </c>
      <c r="D399" s="6">
        <v>133</v>
      </c>
      <c r="E399" s="6"/>
      <c r="F399" s="6">
        <v>242</v>
      </c>
      <c r="G399" s="6">
        <v>209</v>
      </c>
      <c r="H399" s="6">
        <v>168</v>
      </c>
      <c r="I399" s="6">
        <v>189</v>
      </c>
      <c r="J399" s="6">
        <f t="shared" si="49"/>
        <v>941</v>
      </c>
      <c r="L399" s="6" t="s">
        <v>8</v>
      </c>
      <c r="M399" s="7">
        <f>SUM(I394:I401)</f>
        <v>856</v>
      </c>
      <c r="O399" s="8"/>
      <c r="P399" s="7"/>
    </row>
    <row r="400" spans="1:16">
      <c r="A400" s="6" t="s">
        <v>154</v>
      </c>
      <c r="B400" s="6"/>
      <c r="C400" s="6"/>
      <c r="D400" s="6"/>
      <c r="E400" s="6"/>
      <c r="F400" s="6"/>
      <c r="G400" s="6"/>
      <c r="H400" s="6"/>
      <c r="I400" s="6"/>
      <c r="J400" s="6">
        <f t="shared" si="49"/>
        <v>0</v>
      </c>
      <c r="L400" s="6"/>
      <c r="M400" s="7"/>
      <c r="O400" s="8"/>
      <c r="P400" s="7"/>
    </row>
    <row r="401" spans="1:16">
      <c r="A401" s="6" t="s">
        <v>154</v>
      </c>
      <c r="B401" s="6"/>
      <c r="C401" s="6"/>
      <c r="D401" s="6"/>
      <c r="E401" s="6"/>
      <c r="F401" s="6"/>
      <c r="G401" s="6"/>
      <c r="H401" s="6"/>
      <c r="I401" s="6"/>
      <c r="J401" s="6">
        <f t="shared" si="49"/>
        <v>0</v>
      </c>
      <c r="L401" s="6"/>
      <c r="M401" s="7"/>
      <c r="O401" s="8"/>
      <c r="P401" s="7"/>
    </row>
    <row r="402" spans="1:16">
      <c r="A402" s="2" t="s">
        <v>1413</v>
      </c>
      <c r="B402" s="2" t="s">
        <v>1164</v>
      </c>
      <c r="C402" s="2" t="s">
        <v>766</v>
      </c>
      <c r="D402" s="2">
        <v>160</v>
      </c>
      <c r="E402" s="2">
        <v>199</v>
      </c>
      <c r="F402" s="2">
        <v>170</v>
      </c>
      <c r="G402" s="2">
        <v>212</v>
      </c>
      <c r="H402" s="2">
        <v>138</v>
      </c>
      <c r="I402" s="2">
        <v>193</v>
      </c>
      <c r="J402" s="3">
        <f>SUM(D402:I402)</f>
        <v>1072</v>
      </c>
      <c r="L402" s="2" t="s">
        <v>3</v>
      </c>
      <c r="M402" s="3">
        <f>SUM(D402:D409)</f>
        <v>832</v>
      </c>
      <c r="O402" s="4" t="str">
        <f>A402</f>
        <v>Culver - Stockton</v>
      </c>
      <c r="P402" s="3">
        <f>SUM(M402:M407)</f>
        <v>5369</v>
      </c>
    </row>
    <row r="403" spans="1:16">
      <c r="A403" s="2" t="s">
        <v>1413</v>
      </c>
      <c r="B403" s="2" t="s">
        <v>1414</v>
      </c>
      <c r="C403" s="2" t="s">
        <v>1415</v>
      </c>
      <c r="D403" s="2">
        <v>166</v>
      </c>
      <c r="E403" s="2"/>
      <c r="F403" s="2"/>
      <c r="G403" s="2"/>
      <c r="H403" s="2">
        <v>196</v>
      </c>
      <c r="I403" s="2">
        <v>183</v>
      </c>
      <c r="J403" s="3">
        <f t="shared" ref="J403:J409" si="50">SUM(D403:I403)</f>
        <v>545</v>
      </c>
      <c r="L403" s="2" t="s">
        <v>4</v>
      </c>
      <c r="M403" s="3">
        <f>SUM(E402:E409)</f>
        <v>954</v>
      </c>
      <c r="O403" s="4"/>
      <c r="P403" s="3"/>
    </row>
    <row r="404" spans="1:16">
      <c r="A404" s="2" t="s">
        <v>1413</v>
      </c>
      <c r="B404" s="2" t="s">
        <v>924</v>
      </c>
      <c r="C404" s="2" t="s">
        <v>1416</v>
      </c>
      <c r="D404" s="2">
        <v>159</v>
      </c>
      <c r="E404" s="2">
        <v>205</v>
      </c>
      <c r="F404" s="2">
        <v>182</v>
      </c>
      <c r="G404" s="2">
        <v>233</v>
      </c>
      <c r="H404" s="2">
        <v>190</v>
      </c>
      <c r="I404" s="2">
        <v>177</v>
      </c>
      <c r="J404" s="3">
        <f t="shared" si="50"/>
        <v>1146</v>
      </c>
      <c r="L404" s="2" t="s">
        <v>5</v>
      </c>
      <c r="M404" s="3">
        <f>SUM(F402:F409)</f>
        <v>856</v>
      </c>
      <c r="O404" s="4"/>
      <c r="P404" s="3"/>
    </row>
    <row r="405" spans="1:16">
      <c r="A405" s="2" t="s">
        <v>1413</v>
      </c>
      <c r="B405" s="2" t="s">
        <v>1093</v>
      </c>
      <c r="C405" s="2" t="s">
        <v>284</v>
      </c>
      <c r="D405" s="2"/>
      <c r="E405" s="2">
        <v>184</v>
      </c>
      <c r="F405" s="2">
        <v>154</v>
      </c>
      <c r="G405" s="2"/>
      <c r="H405" s="2">
        <v>152</v>
      </c>
      <c r="I405" s="2"/>
      <c r="J405" s="3">
        <f t="shared" si="50"/>
        <v>490</v>
      </c>
      <c r="L405" s="2" t="s">
        <v>6</v>
      </c>
      <c r="M405" s="3">
        <f>SUM(G402:G409)</f>
        <v>961</v>
      </c>
      <c r="O405" s="4"/>
      <c r="P405" s="3"/>
    </row>
    <row r="406" spans="1:16">
      <c r="A406" s="2" t="s">
        <v>1413</v>
      </c>
      <c r="B406" s="2" t="s">
        <v>1417</v>
      </c>
      <c r="C406" s="2" t="s">
        <v>1418</v>
      </c>
      <c r="D406" s="2"/>
      <c r="E406" s="2"/>
      <c r="F406" s="2"/>
      <c r="G406" s="2"/>
      <c r="H406" s="2"/>
      <c r="I406" s="2"/>
      <c r="J406" s="3">
        <f t="shared" si="50"/>
        <v>0</v>
      </c>
      <c r="L406" s="2" t="s">
        <v>7</v>
      </c>
      <c r="M406" s="3">
        <f>SUM(H402:H409)</f>
        <v>859</v>
      </c>
      <c r="O406" s="4"/>
      <c r="P406" s="3"/>
    </row>
    <row r="407" spans="1:16">
      <c r="A407" s="2" t="s">
        <v>1413</v>
      </c>
      <c r="B407" s="2" t="s">
        <v>901</v>
      </c>
      <c r="C407" s="2" t="s">
        <v>1419</v>
      </c>
      <c r="D407" s="2"/>
      <c r="E407" s="2"/>
      <c r="F407" s="2"/>
      <c r="G407" s="2">
        <v>119</v>
      </c>
      <c r="H407" s="2"/>
      <c r="I407" s="2"/>
      <c r="J407" s="3">
        <f t="shared" si="50"/>
        <v>119</v>
      </c>
      <c r="L407" s="2" t="s">
        <v>8</v>
      </c>
      <c r="M407" s="3">
        <f>SUM(I402:I409)</f>
        <v>907</v>
      </c>
      <c r="O407" s="4"/>
      <c r="P407" s="3"/>
    </row>
    <row r="408" spans="1:16">
      <c r="A408" s="2" t="s">
        <v>1413</v>
      </c>
      <c r="B408" s="2" t="s">
        <v>1420</v>
      </c>
      <c r="C408" s="2" t="s">
        <v>820</v>
      </c>
      <c r="D408" s="2">
        <v>158</v>
      </c>
      <c r="E408" s="2">
        <v>179</v>
      </c>
      <c r="F408" s="2">
        <v>178</v>
      </c>
      <c r="G408" s="2">
        <v>246</v>
      </c>
      <c r="H408" s="2">
        <v>183</v>
      </c>
      <c r="I408" s="2">
        <v>203</v>
      </c>
      <c r="J408" s="3">
        <f t="shared" si="50"/>
        <v>1147</v>
      </c>
      <c r="L408" s="3"/>
      <c r="M408" s="3"/>
      <c r="O408" s="4"/>
      <c r="P408" s="3"/>
    </row>
    <row r="409" spans="1:16">
      <c r="A409" s="2" t="s">
        <v>1413</v>
      </c>
      <c r="B409" s="2" t="s">
        <v>400</v>
      </c>
      <c r="C409" s="2" t="s">
        <v>771</v>
      </c>
      <c r="D409" s="2">
        <v>189</v>
      </c>
      <c r="E409" s="2">
        <v>187</v>
      </c>
      <c r="F409" s="2">
        <v>172</v>
      </c>
      <c r="G409" s="2">
        <v>151</v>
      </c>
      <c r="H409" s="2"/>
      <c r="I409" s="2">
        <v>151</v>
      </c>
      <c r="J409" s="3">
        <f t="shared" si="50"/>
        <v>850</v>
      </c>
      <c r="L409" s="2"/>
      <c r="M409" s="3"/>
      <c r="O409" s="4"/>
      <c r="P409" s="3"/>
    </row>
    <row r="410" spans="1:16">
      <c r="A410" s="6" t="s">
        <v>27</v>
      </c>
      <c r="B410" s="6" t="s">
        <v>1421</v>
      </c>
      <c r="C410" s="6" t="s">
        <v>1422</v>
      </c>
      <c r="D410" s="6">
        <v>169</v>
      </c>
      <c r="E410" s="6">
        <v>158</v>
      </c>
      <c r="F410" s="6">
        <v>171</v>
      </c>
      <c r="G410" s="6">
        <v>180</v>
      </c>
      <c r="H410" s="6">
        <v>163</v>
      </c>
      <c r="I410" s="6">
        <v>141</v>
      </c>
      <c r="J410" s="6">
        <f>SUM(D410:I410)</f>
        <v>982</v>
      </c>
      <c r="L410" s="6" t="s">
        <v>3</v>
      </c>
      <c r="M410" s="7">
        <f>SUM(D410:D417)</f>
        <v>770</v>
      </c>
      <c r="O410" s="8" t="str">
        <f>A410</f>
        <v>Morehead State</v>
      </c>
      <c r="P410" s="7">
        <f>SUM(M410:M415)</f>
        <v>4682</v>
      </c>
    </row>
    <row r="411" spans="1:16">
      <c r="A411" s="6" t="s">
        <v>27</v>
      </c>
      <c r="B411" s="6" t="s">
        <v>1423</v>
      </c>
      <c r="C411" s="6" t="s">
        <v>1424</v>
      </c>
      <c r="D411" s="6"/>
      <c r="E411" s="6"/>
      <c r="F411" s="6"/>
      <c r="G411" s="6"/>
      <c r="H411" s="6"/>
      <c r="I411" s="6">
        <v>141</v>
      </c>
      <c r="J411" s="6">
        <f t="shared" ref="J411:J417" si="51">SUM(D411:I411)</f>
        <v>141</v>
      </c>
      <c r="L411" s="6" t="s">
        <v>4</v>
      </c>
      <c r="M411" s="7">
        <f>SUM(E410:E417)</f>
        <v>805</v>
      </c>
      <c r="O411" s="8"/>
      <c r="P411" s="7"/>
    </row>
    <row r="412" spans="1:16">
      <c r="A412" s="6" t="s">
        <v>27</v>
      </c>
      <c r="B412" s="6" t="s">
        <v>1425</v>
      </c>
      <c r="C412" s="6" t="s">
        <v>1426</v>
      </c>
      <c r="D412" s="6">
        <v>162</v>
      </c>
      <c r="E412" s="6">
        <v>196</v>
      </c>
      <c r="F412" s="6">
        <v>154</v>
      </c>
      <c r="G412" s="6">
        <v>122</v>
      </c>
      <c r="H412" s="6">
        <v>152</v>
      </c>
      <c r="I412" s="6">
        <v>159</v>
      </c>
      <c r="J412" s="6">
        <f t="shared" si="51"/>
        <v>945</v>
      </c>
      <c r="L412" s="6" t="s">
        <v>5</v>
      </c>
      <c r="M412" s="7">
        <f>SUM(F410:F417)</f>
        <v>741</v>
      </c>
      <c r="O412" s="8"/>
      <c r="P412" s="7"/>
    </row>
    <row r="413" spans="1:16">
      <c r="A413" s="6" t="s">
        <v>27</v>
      </c>
      <c r="B413" s="6" t="s">
        <v>1170</v>
      </c>
      <c r="C413" s="6" t="s">
        <v>1427</v>
      </c>
      <c r="D413" s="6"/>
      <c r="E413" s="6">
        <v>162</v>
      </c>
      <c r="F413" s="6">
        <v>135</v>
      </c>
      <c r="G413" s="6">
        <v>159</v>
      </c>
      <c r="H413" s="6">
        <v>112</v>
      </c>
      <c r="I413" s="6"/>
      <c r="J413" s="6">
        <f t="shared" si="51"/>
        <v>568</v>
      </c>
      <c r="L413" s="6" t="s">
        <v>6</v>
      </c>
      <c r="M413" s="7">
        <f>SUM(G410:G417)</f>
        <v>774</v>
      </c>
      <c r="O413" s="8"/>
      <c r="P413" s="7"/>
    </row>
    <row r="414" spans="1:16">
      <c r="A414" s="6" t="s">
        <v>27</v>
      </c>
      <c r="B414" s="6" t="s">
        <v>986</v>
      </c>
      <c r="C414" s="6" t="s">
        <v>1020</v>
      </c>
      <c r="D414" s="6">
        <v>162</v>
      </c>
      <c r="E414" s="6">
        <v>149</v>
      </c>
      <c r="F414" s="6">
        <v>143</v>
      </c>
      <c r="G414" s="6">
        <v>154</v>
      </c>
      <c r="H414" s="6">
        <v>187</v>
      </c>
      <c r="I414" s="6">
        <v>210</v>
      </c>
      <c r="J414" s="6">
        <f t="shared" si="51"/>
        <v>1005</v>
      </c>
      <c r="L414" s="6" t="s">
        <v>7</v>
      </c>
      <c r="M414" s="7">
        <f>SUM(H410:H417)</f>
        <v>807</v>
      </c>
      <c r="O414" s="8"/>
      <c r="P414" s="7"/>
    </row>
    <row r="415" spans="1:16">
      <c r="A415" s="6" t="s">
        <v>27</v>
      </c>
      <c r="B415" s="6" t="s">
        <v>1428</v>
      </c>
      <c r="C415" s="6" t="s">
        <v>1429</v>
      </c>
      <c r="D415" s="6">
        <v>112</v>
      </c>
      <c r="E415" s="6"/>
      <c r="F415" s="6"/>
      <c r="G415" s="6">
        <v>159</v>
      </c>
      <c r="H415" s="6">
        <v>193</v>
      </c>
      <c r="I415" s="6">
        <v>134</v>
      </c>
      <c r="J415" s="6">
        <f t="shared" si="51"/>
        <v>598</v>
      </c>
      <c r="L415" s="6" t="s">
        <v>8</v>
      </c>
      <c r="M415" s="7">
        <f>SUM(I410:I417)</f>
        <v>785</v>
      </c>
      <c r="O415" s="8"/>
      <c r="P415" s="7"/>
    </row>
    <row r="416" spans="1:16">
      <c r="A416" s="6" t="s">
        <v>27</v>
      </c>
      <c r="B416" s="6" t="s">
        <v>1430</v>
      </c>
      <c r="C416" s="6" t="s">
        <v>1431</v>
      </c>
      <c r="D416" s="6">
        <v>165</v>
      </c>
      <c r="E416" s="6">
        <v>140</v>
      </c>
      <c r="F416" s="6">
        <v>138</v>
      </c>
      <c r="G416" s="6"/>
      <c r="H416" s="6"/>
      <c r="I416" s="6"/>
      <c r="J416" s="6">
        <f t="shared" si="51"/>
        <v>443</v>
      </c>
      <c r="L416" s="6"/>
      <c r="M416" s="7"/>
      <c r="O416" s="8"/>
      <c r="P416" s="7"/>
    </row>
    <row r="417" spans="1:16">
      <c r="A417" s="6" t="s">
        <v>27</v>
      </c>
      <c r="B417" s="6"/>
      <c r="C417" s="6"/>
      <c r="D417" s="6"/>
      <c r="E417" s="6"/>
      <c r="F417" s="6"/>
      <c r="G417" s="6"/>
      <c r="H417" s="6"/>
      <c r="I417" s="6"/>
      <c r="J417" s="6">
        <f t="shared" si="51"/>
        <v>0</v>
      </c>
      <c r="L417" s="6"/>
      <c r="M417" s="7"/>
      <c r="O417" s="8"/>
      <c r="P417" s="7"/>
    </row>
    <row r="418" spans="1:16">
      <c r="A418" s="2" t="s">
        <v>729</v>
      </c>
      <c r="B418" s="2" t="s">
        <v>1156</v>
      </c>
      <c r="C418" s="2" t="s">
        <v>1432</v>
      </c>
      <c r="D418" s="2"/>
      <c r="E418" s="2"/>
      <c r="F418" s="2"/>
      <c r="G418" s="2"/>
      <c r="H418" s="2"/>
      <c r="I418" s="2"/>
      <c r="J418" s="3">
        <f>SUM(D418:I418)</f>
        <v>0</v>
      </c>
      <c r="L418" s="2" t="s">
        <v>3</v>
      </c>
      <c r="M418" s="3">
        <f>SUM(D418:D425)</f>
        <v>940</v>
      </c>
      <c r="O418" s="4" t="str">
        <f>A418</f>
        <v>St. Ambrose</v>
      </c>
      <c r="P418" s="3">
        <f>SUM(M418:M423)</f>
        <v>6003</v>
      </c>
    </row>
    <row r="419" spans="1:16">
      <c r="A419" s="2" t="s">
        <v>729</v>
      </c>
      <c r="B419" s="2" t="s">
        <v>1433</v>
      </c>
      <c r="C419" s="2" t="s">
        <v>92</v>
      </c>
      <c r="D419" s="2">
        <v>177</v>
      </c>
      <c r="E419" s="2">
        <v>156</v>
      </c>
      <c r="F419" s="2"/>
      <c r="G419" s="2"/>
      <c r="H419" s="2"/>
      <c r="I419" s="2"/>
      <c r="J419" s="3">
        <f t="shared" ref="J419:J425" si="52">SUM(D419:I419)</f>
        <v>333</v>
      </c>
      <c r="L419" s="2" t="s">
        <v>4</v>
      </c>
      <c r="M419" s="3">
        <f>SUM(E418:E425)</f>
        <v>1052</v>
      </c>
      <c r="O419" s="4"/>
      <c r="P419" s="3"/>
    </row>
    <row r="420" spans="1:16">
      <c r="A420" s="2" t="s">
        <v>729</v>
      </c>
      <c r="B420" s="2" t="s">
        <v>394</v>
      </c>
      <c r="C420" s="2" t="s">
        <v>722</v>
      </c>
      <c r="D420" s="2">
        <v>167</v>
      </c>
      <c r="E420" s="2">
        <v>225</v>
      </c>
      <c r="F420" s="2">
        <v>215</v>
      </c>
      <c r="G420" s="2">
        <v>198</v>
      </c>
      <c r="H420" s="2">
        <v>204</v>
      </c>
      <c r="I420" s="2">
        <v>178</v>
      </c>
      <c r="J420" s="3">
        <f t="shared" si="52"/>
        <v>1187</v>
      </c>
      <c r="L420" s="2" t="s">
        <v>5</v>
      </c>
      <c r="M420" s="3">
        <f>SUM(F418:F425)</f>
        <v>1039</v>
      </c>
      <c r="O420" s="4"/>
      <c r="P420" s="3"/>
    </row>
    <row r="421" spans="1:16">
      <c r="A421" s="2" t="s">
        <v>729</v>
      </c>
      <c r="B421" s="2" t="s">
        <v>926</v>
      </c>
      <c r="C421" s="2" t="s">
        <v>1434</v>
      </c>
      <c r="D421" s="2"/>
      <c r="E421" s="2"/>
      <c r="F421" s="2">
        <v>213</v>
      </c>
      <c r="G421" s="2">
        <v>161</v>
      </c>
      <c r="H421" s="2">
        <v>213</v>
      </c>
      <c r="I421" s="2">
        <v>196</v>
      </c>
      <c r="J421" s="3">
        <f t="shared" si="52"/>
        <v>783</v>
      </c>
      <c r="L421" s="2" t="s">
        <v>6</v>
      </c>
      <c r="M421" s="3">
        <f>SUM(G418:G425)</f>
        <v>978</v>
      </c>
      <c r="O421" s="4"/>
      <c r="P421" s="3"/>
    </row>
    <row r="422" spans="1:16">
      <c r="A422" s="2" t="s">
        <v>729</v>
      </c>
      <c r="B422" s="2" t="s">
        <v>193</v>
      </c>
      <c r="C422" s="2" t="s">
        <v>948</v>
      </c>
      <c r="D422" s="2">
        <v>213</v>
      </c>
      <c r="E422" s="2">
        <v>204</v>
      </c>
      <c r="F422" s="2">
        <v>163</v>
      </c>
      <c r="G422" s="2">
        <v>195</v>
      </c>
      <c r="H422" s="2">
        <v>204</v>
      </c>
      <c r="I422" s="2">
        <v>196</v>
      </c>
      <c r="J422" s="3">
        <f t="shared" si="52"/>
        <v>1175</v>
      </c>
      <c r="L422" s="2" t="s">
        <v>7</v>
      </c>
      <c r="M422" s="3">
        <f>SUM(H418:H425)</f>
        <v>1012</v>
      </c>
      <c r="O422" s="4"/>
      <c r="P422" s="3"/>
    </row>
    <row r="423" spans="1:16">
      <c r="A423" s="2" t="s">
        <v>729</v>
      </c>
      <c r="B423" s="2" t="s">
        <v>193</v>
      </c>
      <c r="C423" s="2" t="s">
        <v>1435</v>
      </c>
      <c r="D423" s="2">
        <v>177</v>
      </c>
      <c r="E423" s="2">
        <v>247</v>
      </c>
      <c r="F423" s="2">
        <v>257</v>
      </c>
      <c r="G423" s="2">
        <v>180</v>
      </c>
      <c r="H423" s="2">
        <v>220</v>
      </c>
      <c r="I423" s="2">
        <v>192</v>
      </c>
      <c r="J423" s="3">
        <f t="shared" si="52"/>
        <v>1273</v>
      </c>
      <c r="L423" s="2" t="s">
        <v>8</v>
      </c>
      <c r="M423" s="3">
        <f>SUM(I418:I425)</f>
        <v>982</v>
      </c>
      <c r="O423" s="4"/>
      <c r="P423" s="3"/>
    </row>
    <row r="424" spans="1:16">
      <c r="A424" s="2" t="s">
        <v>729</v>
      </c>
      <c r="B424" s="2" t="s">
        <v>1436</v>
      </c>
      <c r="C424" s="2" t="s">
        <v>1068</v>
      </c>
      <c r="D424" s="2"/>
      <c r="E424" s="2"/>
      <c r="F424" s="2"/>
      <c r="G424" s="2"/>
      <c r="H424" s="2"/>
      <c r="I424" s="2"/>
      <c r="J424" s="3">
        <f t="shared" si="52"/>
        <v>0</v>
      </c>
      <c r="L424" s="3"/>
      <c r="M424" s="3"/>
      <c r="O424" s="4"/>
      <c r="P424" s="3"/>
    </row>
    <row r="425" spans="1:16">
      <c r="A425" s="2" t="s">
        <v>729</v>
      </c>
      <c r="B425" s="2" t="s">
        <v>1170</v>
      </c>
      <c r="C425" s="2" t="s">
        <v>158</v>
      </c>
      <c r="D425" s="2">
        <v>206</v>
      </c>
      <c r="E425" s="2">
        <v>220</v>
      </c>
      <c r="F425" s="2">
        <v>191</v>
      </c>
      <c r="G425" s="2">
        <v>244</v>
      </c>
      <c r="H425" s="2">
        <v>171</v>
      </c>
      <c r="I425" s="2">
        <v>220</v>
      </c>
      <c r="J425" s="3">
        <f t="shared" si="52"/>
        <v>1252</v>
      </c>
      <c r="L425" s="2"/>
      <c r="M425" s="3"/>
      <c r="O425" s="4"/>
      <c r="P425" s="3"/>
    </row>
    <row r="426" spans="1:16">
      <c r="A426" s="6" t="s">
        <v>231</v>
      </c>
      <c r="B426" s="6" t="s">
        <v>988</v>
      </c>
      <c r="C426" s="6" t="s">
        <v>1095</v>
      </c>
      <c r="D426" s="6"/>
      <c r="E426" s="6"/>
      <c r="F426" s="6"/>
      <c r="G426" s="6"/>
      <c r="H426" s="6"/>
      <c r="I426" s="6"/>
      <c r="J426" s="6">
        <f>SUM(D426:I426)</f>
        <v>0</v>
      </c>
      <c r="L426" s="6" t="s">
        <v>3</v>
      </c>
      <c r="M426" s="7">
        <f>SUM(D426:D433)</f>
        <v>825</v>
      </c>
      <c r="O426" s="8" t="str">
        <f>A426</f>
        <v>Highland CC</v>
      </c>
      <c r="P426" s="7">
        <f>SUM(M426:M431)</f>
        <v>5171</v>
      </c>
    </row>
    <row r="427" spans="1:16">
      <c r="A427" s="6" t="s">
        <v>231</v>
      </c>
      <c r="B427" s="6" t="s">
        <v>1137</v>
      </c>
      <c r="C427" s="6" t="s">
        <v>1437</v>
      </c>
      <c r="D427" s="6">
        <v>191</v>
      </c>
      <c r="E427" s="6">
        <v>158</v>
      </c>
      <c r="F427" s="6">
        <v>225</v>
      </c>
      <c r="G427" s="6">
        <v>187</v>
      </c>
      <c r="H427" s="6">
        <v>156</v>
      </c>
      <c r="I427" s="6">
        <v>182</v>
      </c>
      <c r="J427" s="6">
        <f t="shared" ref="J427:J433" si="53">SUM(D427:I427)</f>
        <v>1099</v>
      </c>
      <c r="L427" s="6" t="s">
        <v>4</v>
      </c>
      <c r="M427" s="7">
        <f>SUM(E426:E433)</f>
        <v>728</v>
      </c>
      <c r="O427" s="8"/>
      <c r="P427" s="7"/>
    </row>
    <row r="428" spans="1:16">
      <c r="A428" s="6" t="s">
        <v>231</v>
      </c>
      <c r="B428" s="6" t="s">
        <v>1000</v>
      </c>
      <c r="C428" s="6" t="s">
        <v>1438</v>
      </c>
      <c r="D428" s="6">
        <v>166</v>
      </c>
      <c r="E428" s="6">
        <v>112</v>
      </c>
      <c r="F428" s="6">
        <v>210</v>
      </c>
      <c r="G428" s="6">
        <v>171</v>
      </c>
      <c r="H428" s="6">
        <v>170</v>
      </c>
      <c r="I428" s="6">
        <v>216</v>
      </c>
      <c r="J428" s="6">
        <f t="shared" si="53"/>
        <v>1045</v>
      </c>
      <c r="L428" s="6" t="s">
        <v>5</v>
      </c>
      <c r="M428" s="7">
        <f>SUM(F426:F433)</f>
        <v>929</v>
      </c>
      <c r="O428" s="8"/>
      <c r="P428" s="7"/>
    </row>
    <row r="429" spans="1:16">
      <c r="A429" s="6" t="s">
        <v>231</v>
      </c>
      <c r="B429" s="6" t="s">
        <v>924</v>
      </c>
      <c r="C429" s="6" t="s">
        <v>119</v>
      </c>
      <c r="D429" s="6"/>
      <c r="E429" s="6"/>
      <c r="F429" s="6"/>
      <c r="G429" s="6"/>
      <c r="H429" s="6"/>
      <c r="I429" s="6"/>
      <c r="J429" s="6">
        <f t="shared" si="53"/>
        <v>0</v>
      </c>
      <c r="L429" s="6" t="s">
        <v>6</v>
      </c>
      <c r="M429" s="7">
        <f>SUM(G426:G433)</f>
        <v>858</v>
      </c>
      <c r="O429" s="8"/>
      <c r="P429" s="7"/>
    </row>
    <row r="430" spans="1:16">
      <c r="A430" s="6" t="s">
        <v>231</v>
      </c>
      <c r="B430" s="6" t="s">
        <v>984</v>
      </c>
      <c r="C430" s="6" t="s">
        <v>894</v>
      </c>
      <c r="D430" s="6">
        <v>159</v>
      </c>
      <c r="E430" s="6">
        <v>164</v>
      </c>
      <c r="F430" s="6">
        <v>154</v>
      </c>
      <c r="G430" s="6">
        <v>165</v>
      </c>
      <c r="H430" s="6">
        <v>208</v>
      </c>
      <c r="I430" s="6">
        <v>158</v>
      </c>
      <c r="J430" s="6">
        <f t="shared" si="53"/>
        <v>1008</v>
      </c>
      <c r="L430" s="6" t="s">
        <v>7</v>
      </c>
      <c r="M430" s="7">
        <f>SUM(H426:H433)</f>
        <v>854</v>
      </c>
      <c r="O430" s="8"/>
      <c r="P430" s="7"/>
    </row>
    <row r="431" spans="1:16">
      <c r="A431" s="6" t="s">
        <v>231</v>
      </c>
      <c r="B431" s="6" t="s">
        <v>1436</v>
      </c>
      <c r="C431" s="6" t="s">
        <v>1439</v>
      </c>
      <c r="D431" s="6">
        <v>161</v>
      </c>
      <c r="E431" s="6">
        <v>104</v>
      </c>
      <c r="F431" s="6">
        <v>198</v>
      </c>
      <c r="G431" s="6">
        <v>195</v>
      </c>
      <c r="H431" s="6">
        <v>166</v>
      </c>
      <c r="I431" s="6">
        <v>210</v>
      </c>
      <c r="J431" s="6">
        <f t="shared" si="53"/>
        <v>1034</v>
      </c>
      <c r="L431" s="6" t="s">
        <v>8</v>
      </c>
      <c r="M431" s="7">
        <f>SUM(I426:I433)</f>
        <v>977</v>
      </c>
      <c r="O431" s="8"/>
      <c r="P431" s="7"/>
    </row>
    <row r="432" spans="1:16">
      <c r="A432" s="6" t="s">
        <v>231</v>
      </c>
      <c r="B432" s="6" t="s">
        <v>139</v>
      </c>
      <c r="C432" s="6" t="s">
        <v>1440</v>
      </c>
      <c r="D432" s="6">
        <v>148</v>
      </c>
      <c r="E432" s="6">
        <v>190</v>
      </c>
      <c r="F432" s="6">
        <v>142</v>
      </c>
      <c r="G432" s="6">
        <v>140</v>
      </c>
      <c r="H432" s="6">
        <v>154</v>
      </c>
      <c r="I432" s="6">
        <v>211</v>
      </c>
      <c r="J432" s="6">
        <f t="shared" si="53"/>
        <v>985</v>
      </c>
      <c r="L432" s="6"/>
      <c r="M432" s="7"/>
      <c r="O432" s="8"/>
      <c r="P432" s="7"/>
    </row>
    <row r="433" spans="1:16">
      <c r="A433" s="6" t="s">
        <v>231</v>
      </c>
      <c r="B433" s="6"/>
      <c r="C433" s="6"/>
      <c r="D433" s="6"/>
      <c r="E433" s="6"/>
      <c r="F433" s="6"/>
      <c r="G433" s="6"/>
      <c r="H433" s="6"/>
      <c r="I433" s="6"/>
      <c r="J433" s="6">
        <f t="shared" si="53"/>
        <v>0</v>
      </c>
      <c r="L433" s="6"/>
      <c r="M433" s="7"/>
      <c r="O433" s="8"/>
      <c r="P433" s="7"/>
    </row>
    <row r="434" spans="1:16">
      <c r="A434" s="2" t="s">
        <v>772</v>
      </c>
      <c r="B434" s="2" t="s">
        <v>1156</v>
      </c>
      <c r="C434" s="2" t="s">
        <v>238</v>
      </c>
      <c r="D434" s="2">
        <v>153</v>
      </c>
      <c r="E434" s="2">
        <v>189</v>
      </c>
      <c r="F434" s="2">
        <v>168</v>
      </c>
      <c r="G434" s="2">
        <v>165</v>
      </c>
      <c r="H434" s="2">
        <v>181</v>
      </c>
      <c r="I434" s="2">
        <v>198</v>
      </c>
      <c r="J434" s="3">
        <f>SUM(D434:I434)</f>
        <v>1054</v>
      </c>
      <c r="L434" s="2" t="s">
        <v>3</v>
      </c>
      <c r="M434" s="3">
        <f>SUM(D434:D441)</f>
        <v>849</v>
      </c>
      <c r="O434" s="4" t="str">
        <f>A434</f>
        <v>Wisconsin - Madison</v>
      </c>
      <c r="P434" s="3">
        <f>SUM(M434:M439)</f>
        <v>5144</v>
      </c>
    </row>
    <row r="435" spans="1:16">
      <c r="A435" s="2" t="s">
        <v>772</v>
      </c>
      <c r="B435" s="2" t="s">
        <v>1203</v>
      </c>
      <c r="C435" s="2" t="s">
        <v>238</v>
      </c>
      <c r="D435" s="2">
        <v>155</v>
      </c>
      <c r="E435" s="2">
        <v>169</v>
      </c>
      <c r="F435" s="2">
        <v>147</v>
      </c>
      <c r="G435" s="2">
        <v>170</v>
      </c>
      <c r="H435" s="2">
        <v>181</v>
      </c>
      <c r="I435" s="2">
        <v>163</v>
      </c>
      <c r="J435" s="3">
        <f t="shared" ref="J435:J441" si="54">SUM(D435:I435)</f>
        <v>985</v>
      </c>
      <c r="L435" s="2" t="s">
        <v>4</v>
      </c>
      <c r="M435" s="3">
        <f>SUM(E434:E441)</f>
        <v>915</v>
      </c>
      <c r="O435" s="4"/>
      <c r="P435" s="3"/>
    </row>
    <row r="436" spans="1:16">
      <c r="A436" s="2" t="s">
        <v>772</v>
      </c>
      <c r="B436" s="2" t="s">
        <v>1441</v>
      </c>
      <c r="C436" s="2" t="s">
        <v>1442</v>
      </c>
      <c r="D436" s="2">
        <v>169</v>
      </c>
      <c r="E436" s="2">
        <v>234</v>
      </c>
      <c r="F436" s="2">
        <v>139</v>
      </c>
      <c r="G436" s="2">
        <v>174</v>
      </c>
      <c r="H436" s="2">
        <v>131</v>
      </c>
      <c r="I436" s="2">
        <v>188</v>
      </c>
      <c r="J436" s="3">
        <f t="shared" si="54"/>
        <v>1035</v>
      </c>
      <c r="L436" s="2" t="s">
        <v>5</v>
      </c>
      <c r="M436" s="3">
        <f>SUM(F434:F441)</f>
        <v>834</v>
      </c>
      <c r="O436" s="4"/>
      <c r="P436" s="3"/>
    </row>
    <row r="437" spans="1:16">
      <c r="A437" s="2" t="s">
        <v>772</v>
      </c>
      <c r="B437" s="2" t="s">
        <v>1443</v>
      </c>
      <c r="C437" s="2" t="s">
        <v>1444</v>
      </c>
      <c r="D437" s="2">
        <v>135</v>
      </c>
      <c r="E437" s="2">
        <v>136</v>
      </c>
      <c r="F437" s="2">
        <v>180</v>
      </c>
      <c r="G437" s="2">
        <v>169</v>
      </c>
      <c r="H437" s="2">
        <v>147</v>
      </c>
      <c r="I437" s="2">
        <v>141</v>
      </c>
      <c r="J437" s="3">
        <f t="shared" si="54"/>
        <v>908</v>
      </c>
      <c r="L437" s="2" t="s">
        <v>6</v>
      </c>
      <c r="M437" s="3">
        <f>SUM(G434:G441)</f>
        <v>875</v>
      </c>
      <c r="O437" s="4"/>
      <c r="P437" s="3"/>
    </row>
    <row r="438" spans="1:16">
      <c r="A438" s="2" t="s">
        <v>772</v>
      </c>
      <c r="B438" s="2" t="s">
        <v>1445</v>
      </c>
      <c r="C438" s="2" t="s">
        <v>1446</v>
      </c>
      <c r="D438" s="2">
        <v>237</v>
      </c>
      <c r="E438" s="2">
        <v>187</v>
      </c>
      <c r="F438" s="2">
        <v>200</v>
      </c>
      <c r="G438" s="2">
        <v>197</v>
      </c>
      <c r="H438" s="2">
        <v>143</v>
      </c>
      <c r="I438" s="2">
        <v>198</v>
      </c>
      <c r="J438" s="3">
        <f t="shared" si="54"/>
        <v>1162</v>
      </c>
      <c r="L438" s="2" t="s">
        <v>7</v>
      </c>
      <c r="M438" s="3">
        <f>SUM(H434:H441)</f>
        <v>783</v>
      </c>
      <c r="O438" s="4"/>
      <c r="P438" s="3"/>
    </row>
    <row r="439" spans="1:16">
      <c r="A439" s="2" t="s">
        <v>772</v>
      </c>
      <c r="B439" s="2"/>
      <c r="C439" s="2"/>
      <c r="D439" s="2"/>
      <c r="E439" s="2"/>
      <c r="F439" s="2"/>
      <c r="G439" s="2"/>
      <c r="H439" s="2"/>
      <c r="I439" s="2"/>
      <c r="J439" s="3">
        <f t="shared" si="54"/>
        <v>0</v>
      </c>
      <c r="L439" s="2" t="s">
        <v>8</v>
      </c>
      <c r="M439" s="3">
        <f>SUM(I434:I441)</f>
        <v>888</v>
      </c>
      <c r="O439" s="4"/>
      <c r="P439" s="3"/>
    </row>
    <row r="440" spans="1:16">
      <c r="A440" s="2" t="s">
        <v>772</v>
      </c>
      <c r="B440" s="2"/>
      <c r="C440" s="2"/>
      <c r="D440" s="2"/>
      <c r="E440" s="2"/>
      <c r="F440" s="2"/>
      <c r="G440" s="2"/>
      <c r="H440" s="2"/>
      <c r="I440" s="2"/>
      <c r="J440" s="3">
        <f t="shared" si="54"/>
        <v>0</v>
      </c>
      <c r="L440" s="3"/>
      <c r="M440" s="3"/>
      <c r="O440" s="4"/>
      <c r="P440" s="3"/>
    </row>
    <row r="441" spans="1:16">
      <c r="A441" s="4" t="s">
        <v>772</v>
      </c>
      <c r="B441" s="2"/>
      <c r="C441" s="2"/>
      <c r="D441" s="2"/>
      <c r="E441" s="2"/>
      <c r="F441" s="2"/>
      <c r="G441" s="2"/>
      <c r="H441" s="2"/>
      <c r="I441" s="2"/>
      <c r="J441" s="3">
        <f t="shared" si="54"/>
        <v>0</v>
      </c>
      <c r="L441" s="2"/>
      <c r="M441" s="3"/>
      <c r="O441" s="4"/>
      <c r="P441" s="3"/>
    </row>
    <row r="442" spans="1:16">
      <c r="A442" s="6" t="s">
        <v>807</v>
      </c>
      <c r="B442" s="6" t="s">
        <v>1000</v>
      </c>
      <c r="C442" s="6" t="s">
        <v>1447</v>
      </c>
      <c r="D442" s="6">
        <v>141</v>
      </c>
      <c r="E442" s="6">
        <v>184</v>
      </c>
      <c r="F442" s="6">
        <v>159</v>
      </c>
      <c r="G442" s="6">
        <v>139</v>
      </c>
      <c r="H442" s="6">
        <v>211</v>
      </c>
      <c r="I442" s="6">
        <v>190</v>
      </c>
      <c r="J442" s="6">
        <f>SUM(D442:I442)</f>
        <v>1024</v>
      </c>
      <c r="L442" s="6" t="s">
        <v>3</v>
      </c>
      <c r="M442" s="7">
        <f>SUM(D442:D449)</f>
        <v>581</v>
      </c>
      <c r="O442" s="8" t="str">
        <f>A442</f>
        <v>Toledo</v>
      </c>
      <c r="P442" s="7">
        <f>SUM(M442:M447)</f>
        <v>3783</v>
      </c>
    </row>
    <row r="443" spans="1:16">
      <c r="A443" s="6" t="s">
        <v>807</v>
      </c>
      <c r="B443" s="6" t="s">
        <v>993</v>
      </c>
      <c r="C443" s="6" t="s">
        <v>1448</v>
      </c>
      <c r="D443" s="6"/>
      <c r="E443" s="6"/>
      <c r="F443" s="6"/>
      <c r="G443" s="6"/>
      <c r="H443" s="6"/>
      <c r="I443" s="6"/>
      <c r="J443" s="6">
        <f t="shared" ref="J443:J449" si="55">SUM(D443:I443)</f>
        <v>0</v>
      </c>
      <c r="L443" s="6" t="s">
        <v>4</v>
      </c>
      <c r="M443" s="7">
        <f>SUM(E442:E449)</f>
        <v>673</v>
      </c>
      <c r="O443" s="8"/>
      <c r="P443" s="7"/>
    </row>
    <row r="444" spans="1:16">
      <c r="A444" s="6" t="s">
        <v>807</v>
      </c>
      <c r="B444" s="6" t="s">
        <v>195</v>
      </c>
      <c r="C444" s="6" t="s">
        <v>1449</v>
      </c>
      <c r="D444" s="6">
        <v>165</v>
      </c>
      <c r="E444" s="6">
        <v>208</v>
      </c>
      <c r="F444" s="6">
        <v>143</v>
      </c>
      <c r="G444" s="6">
        <v>152</v>
      </c>
      <c r="H444" s="6">
        <v>166</v>
      </c>
      <c r="I444" s="6">
        <v>138</v>
      </c>
      <c r="J444" s="6">
        <f t="shared" si="55"/>
        <v>972</v>
      </c>
      <c r="L444" s="6" t="s">
        <v>5</v>
      </c>
      <c r="M444" s="7">
        <f>SUM(F442:F449)</f>
        <v>598</v>
      </c>
      <c r="O444" s="8"/>
      <c r="P444" s="7"/>
    </row>
    <row r="445" spans="1:16">
      <c r="A445" s="6" t="s">
        <v>807</v>
      </c>
      <c r="B445" s="6" t="s">
        <v>1450</v>
      </c>
      <c r="C445" s="6" t="s">
        <v>1451</v>
      </c>
      <c r="D445" s="6">
        <v>104</v>
      </c>
      <c r="E445" s="6">
        <v>114</v>
      </c>
      <c r="F445" s="6">
        <v>138</v>
      </c>
      <c r="G445" s="6">
        <v>127</v>
      </c>
      <c r="H445" s="6">
        <v>110</v>
      </c>
      <c r="I445" s="6">
        <v>166</v>
      </c>
      <c r="J445" s="6">
        <f t="shared" si="55"/>
        <v>759</v>
      </c>
      <c r="L445" s="6" t="s">
        <v>6</v>
      </c>
      <c r="M445" s="7">
        <f>SUM(G442:G449)</f>
        <v>605</v>
      </c>
      <c r="O445" s="8"/>
      <c r="P445" s="7"/>
    </row>
    <row r="446" spans="1:16">
      <c r="A446" s="6" t="s">
        <v>807</v>
      </c>
      <c r="B446" s="6" t="s">
        <v>1103</v>
      </c>
      <c r="C446" s="6" t="s">
        <v>1452</v>
      </c>
      <c r="D446" s="6">
        <v>171</v>
      </c>
      <c r="E446" s="6">
        <v>167</v>
      </c>
      <c r="F446" s="6">
        <v>158</v>
      </c>
      <c r="G446" s="6">
        <v>187</v>
      </c>
      <c r="H446" s="6">
        <v>169</v>
      </c>
      <c r="I446" s="6">
        <v>176</v>
      </c>
      <c r="J446" s="6">
        <f t="shared" si="55"/>
        <v>1028</v>
      </c>
      <c r="L446" s="6" t="s">
        <v>7</v>
      </c>
      <c r="M446" s="7">
        <f>SUM(H442:H449)</f>
        <v>656</v>
      </c>
      <c r="O446" s="8"/>
      <c r="P446" s="7"/>
    </row>
    <row r="447" spans="1:16">
      <c r="A447" s="6" t="s">
        <v>807</v>
      </c>
      <c r="B447" s="6"/>
      <c r="C447" s="6"/>
      <c r="D447" s="6"/>
      <c r="E447" s="6"/>
      <c r="F447" s="6"/>
      <c r="G447" s="6"/>
      <c r="H447" s="6"/>
      <c r="I447" s="6"/>
      <c r="J447" s="6">
        <f t="shared" si="55"/>
        <v>0</v>
      </c>
      <c r="L447" s="6" t="s">
        <v>8</v>
      </c>
      <c r="M447" s="7">
        <f>SUM(I442:I449)</f>
        <v>670</v>
      </c>
      <c r="O447" s="8"/>
      <c r="P447" s="7"/>
    </row>
    <row r="448" spans="1:16">
      <c r="A448" s="6" t="s">
        <v>807</v>
      </c>
      <c r="B448" s="6"/>
      <c r="C448" s="6"/>
      <c r="D448" s="6"/>
      <c r="E448" s="6"/>
      <c r="F448" s="6"/>
      <c r="G448" s="6"/>
      <c r="H448" s="6"/>
      <c r="I448" s="6"/>
      <c r="J448" s="6">
        <f t="shared" si="55"/>
        <v>0</v>
      </c>
      <c r="L448" s="6"/>
      <c r="M448" s="7"/>
      <c r="O448" s="8"/>
      <c r="P448" s="7"/>
    </row>
    <row r="449" spans="1:16">
      <c r="A449" s="6" t="s">
        <v>807</v>
      </c>
      <c r="B449" s="6"/>
      <c r="C449" s="6"/>
      <c r="D449" s="6"/>
      <c r="E449" s="6"/>
      <c r="F449" s="6"/>
      <c r="G449" s="6"/>
      <c r="H449" s="6"/>
      <c r="I449" s="6"/>
      <c r="J449" s="6">
        <f t="shared" si="55"/>
        <v>0</v>
      </c>
      <c r="L449" s="6"/>
      <c r="M449" s="7"/>
      <c r="O449" s="8"/>
      <c r="P449" s="7"/>
    </row>
    <row r="450" spans="1:16">
      <c r="A450" s="2" t="s">
        <v>501</v>
      </c>
      <c r="B450" s="2" t="s">
        <v>1453</v>
      </c>
      <c r="C450" s="2" t="s">
        <v>1454</v>
      </c>
      <c r="D450" s="2">
        <v>188</v>
      </c>
      <c r="E450" s="2">
        <v>247</v>
      </c>
      <c r="F450" s="2">
        <v>180</v>
      </c>
      <c r="G450" s="2">
        <v>179</v>
      </c>
      <c r="H450" s="2">
        <v>199</v>
      </c>
      <c r="I450" s="2">
        <v>175</v>
      </c>
      <c r="J450" s="3">
        <f>SUM(D450:I450)</f>
        <v>1168</v>
      </c>
      <c r="L450" s="2" t="s">
        <v>3</v>
      </c>
      <c r="M450" s="3">
        <f>SUM(D450:D457)</f>
        <v>1041</v>
      </c>
      <c r="O450" s="4" t="str">
        <f>A450</f>
        <v>Wichita State</v>
      </c>
      <c r="P450" s="3">
        <f>SUM(M450:M455)</f>
        <v>5851</v>
      </c>
    </row>
    <row r="451" spans="1:16">
      <c r="A451" s="2" t="s">
        <v>501</v>
      </c>
      <c r="B451" s="2" t="s">
        <v>1203</v>
      </c>
      <c r="C451" s="2" t="s">
        <v>1455</v>
      </c>
      <c r="D451" s="2"/>
      <c r="E451" s="2"/>
      <c r="F451" s="2"/>
      <c r="G451" s="2"/>
      <c r="H451" s="2"/>
      <c r="I451" s="2"/>
      <c r="J451" s="3">
        <f t="shared" ref="J451:J457" si="56">SUM(D451:I451)</f>
        <v>0</v>
      </c>
      <c r="L451" s="2" t="s">
        <v>4</v>
      </c>
      <c r="M451" s="3">
        <f>SUM(E450:E457)</f>
        <v>1094</v>
      </c>
      <c r="O451" s="4"/>
      <c r="P451" s="3"/>
    </row>
    <row r="452" spans="1:16">
      <c r="A452" s="2" t="s">
        <v>501</v>
      </c>
      <c r="B452" s="2" t="s">
        <v>1456</v>
      </c>
      <c r="C452" s="2" t="s">
        <v>1457</v>
      </c>
      <c r="D452" s="2"/>
      <c r="E452" s="2"/>
      <c r="F452" s="2"/>
      <c r="G452" s="2">
        <v>206</v>
      </c>
      <c r="H452" s="2">
        <v>186</v>
      </c>
      <c r="I452" s="2">
        <v>201</v>
      </c>
      <c r="J452" s="3">
        <f t="shared" si="56"/>
        <v>593</v>
      </c>
      <c r="L452" s="2" t="s">
        <v>5</v>
      </c>
      <c r="M452" s="3">
        <f>SUM(F450:F457)</f>
        <v>838</v>
      </c>
      <c r="O452" s="4"/>
      <c r="P452" s="3"/>
    </row>
    <row r="453" spans="1:16">
      <c r="A453" s="2" t="s">
        <v>501</v>
      </c>
      <c r="B453" s="2" t="s">
        <v>1458</v>
      </c>
      <c r="C453" s="2" t="s">
        <v>1459</v>
      </c>
      <c r="D453" s="2">
        <v>247</v>
      </c>
      <c r="E453" s="2">
        <v>200</v>
      </c>
      <c r="F453" s="2">
        <v>176</v>
      </c>
      <c r="G453" s="2">
        <v>217</v>
      </c>
      <c r="H453" s="2">
        <v>174</v>
      </c>
      <c r="I453" s="2">
        <v>185</v>
      </c>
      <c r="J453" s="3">
        <f t="shared" si="56"/>
        <v>1199</v>
      </c>
      <c r="L453" s="2" t="s">
        <v>6</v>
      </c>
      <c r="M453" s="3">
        <f>SUM(G450:G457)</f>
        <v>964</v>
      </c>
      <c r="O453" s="4"/>
      <c r="P453" s="3"/>
    </row>
    <row r="454" spans="1:16">
      <c r="A454" s="2" t="s">
        <v>501</v>
      </c>
      <c r="B454" s="2" t="s">
        <v>193</v>
      </c>
      <c r="C454" s="2" t="s">
        <v>1460</v>
      </c>
      <c r="D454" s="2"/>
      <c r="E454" s="2"/>
      <c r="F454" s="2"/>
      <c r="G454" s="2"/>
      <c r="H454" s="2"/>
      <c r="I454" s="2"/>
      <c r="J454" s="3">
        <f t="shared" si="56"/>
        <v>0</v>
      </c>
      <c r="L454" s="2" t="s">
        <v>7</v>
      </c>
      <c r="M454" s="3">
        <f>SUM(H450:H457)</f>
        <v>949</v>
      </c>
      <c r="O454" s="4"/>
      <c r="P454" s="3"/>
    </row>
    <row r="455" spans="1:16">
      <c r="A455" s="2" t="s">
        <v>501</v>
      </c>
      <c r="B455" s="2" t="s">
        <v>1461</v>
      </c>
      <c r="C455" s="2" t="s">
        <v>1462</v>
      </c>
      <c r="D455" s="2">
        <v>182</v>
      </c>
      <c r="E455" s="2">
        <v>191</v>
      </c>
      <c r="F455" s="2">
        <v>135</v>
      </c>
      <c r="G455" s="2"/>
      <c r="H455" s="2">
        <v>166</v>
      </c>
      <c r="I455" s="2">
        <v>179</v>
      </c>
      <c r="J455" s="3">
        <f t="shared" si="56"/>
        <v>853</v>
      </c>
      <c r="L455" s="2" t="s">
        <v>8</v>
      </c>
      <c r="M455" s="3">
        <f>SUM(I450:I457)</f>
        <v>965</v>
      </c>
      <c r="O455" s="4"/>
      <c r="P455" s="3"/>
    </row>
    <row r="456" spans="1:16">
      <c r="A456" s="2" t="s">
        <v>501</v>
      </c>
      <c r="B456" s="2" t="s">
        <v>1463</v>
      </c>
      <c r="C456" s="2" t="s">
        <v>1464</v>
      </c>
      <c r="D456" s="2">
        <v>214</v>
      </c>
      <c r="E456" s="2">
        <v>236</v>
      </c>
      <c r="F456" s="2">
        <v>169</v>
      </c>
      <c r="G456" s="2">
        <v>166</v>
      </c>
      <c r="H456" s="2"/>
      <c r="I456" s="2"/>
      <c r="J456" s="3">
        <f t="shared" si="56"/>
        <v>785</v>
      </c>
      <c r="L456" s="3"/>
      <c r="M456" s="3"/>
      <c r="O456" s="4"/>
      <c r="P456" s="3"/>
    </row>
    <row r="457" spans="1:16">
      <c r="A457" s="2" t="s">
        <v>501</v>
      </c>
      <c r="B457" s="2" t="s">
        <v>986</v>
      </c>
      <c r="C457" s="2" t="s">
        <v>1465</v>
      </c>
      <c r="D457" s="2">
        <v>210</v>
      </c>
      <c r="E457" s="2">
        <v>220</v>
      </c>
      <c r="F457" s="2">
        <v>178</v>
      </c>
      <c r="G457" s="2">
        <v>196</v>
      </c>
      <c r="H457" s="2">
        <v>224</v>
      </c>
      <c r="I457" s="2">
        <v>225</v>
      </c>
      <c r="J457" s="3">
        <f t="shared" si="56"/>
        <v>1253</v>
      </c>
      <c r="L457" s="2"/>
      <c r="M457" s="3"/>
      <c r="O457" s="4"/>
      <c r="P457" s="3"/>
    </row>
    <row r="458" spans="1:16">
      <c r="A458" s="6" t="s">
        <v>464</v>
      </c>
      <c r="B458" s="6" t="s">
        <v>1466</v>
      </c>
      <c r="C458" s="6" t="s">
        <v>1454</v>
      </c>
      <c r="D458" s="6"/>
      <c r="E458" s="6"/>
      <c r="F458" s="6"/>
      <c r="G458" s="6"/>
      <c r="H458" s="6"/>
      <c r="I458" s="6"/>
      <c r="J458" s="6">
        <f>SUM(D458:I458)</f>
        <v>0</v>
      </c>
      <c r="L458" s="6" t="s">
        <v>3</v>
      </c>
      <c r="M458" s="7">
        <f>SUM(D458:D465)</f>
        <v>1056</v>
      </c>
      <c r="O458" s="8" t="str">
        <f>A458</f>
        <v>Newman</v>
      </c>
      <c r="P458" s="7">
        <f>SUM(M458:M463)</f>
        <v>5940</v>
      </c>
    </row>
    <row r="459" spans="1:16">
      <c r="A459" s="6" t="s">
        <v>464</v>
      </c>
      <c r="B459" s="6" t="s">
        <v>1467</v>
      </c>
      <c r="C459" s="6" t="s">
        <v>1298</v>
      </c>
      <c r="D459" s="6"/>
      <c r="E459" s="6"/>
      <c r="F459" s="6"/>
      <c r="G459" s="6"/>
      <c r="H459" s="6"/>
      <c r="I459" s="6"/>
      <c r="J459" s="6">
        <f t="shared" ref="J459:J465" si="57">SUM(D459:I459)</f>
        <v>0</v>
      </c>
      <c r="L459" s="6" t="s">
        <v>4</v>
      </c>
      <c r="M459" s="7">
        <f>SUM(E458:E465)</f>
        <v>1064</v>
      </c>
      <c r="O459" s="8"/>
      <c r="P459" s="7"/>
    </row>
    <row r="460" spans="1:16">
      <c r="A460" s="6" t="s">
        <v>464</v>
      </c>
      <c r="B460" s="6" t="s">
        <v>1181</v>
      </c>
      <c r="C460" s="6" t="s">
        <v>267</v>
      </c>
      <c r="D460" s="6">
        <v>225</v>
      </c>
      <c r="E460" s="6">
        <v>182</v>
      </c>
      <c r="F460" s="6">
        <v>190</v>
      </c>
      <c r="G460" s="6">
        <v>195</v>
      </c>
      <c r="H460" s="6">
        <v>164</v>
      </c>
      <c r="I460" s="6">
        <v>258</v>
      </c>
      <c r="J460" s="6">
        <f t="shared" si="57"/>
        <v>1214</v>
      </c>
      <c r="L460" s="6" t="s">
        <v>5</v>
      </c>
      <c r="M460" s="7">
        <f>SUM(F458:F465)</f>
        <v>891</v>
      </c>
      <c r="O460" s="8"/>
      <c r="P460" s="7"/>
    </row>
    <row r="461" spans="1:16">
      <c r="A461" s="6" t="s">
        <v>464</v>
      </c>
      <c r="B461" s="6" t="s">
        <v>1068</v>
      </c>
      <c r="C461" s="6" t="s">
        <v>1468</v>
      </c>
      <c r="D461" s="6">
        <v>235</v>
      </c>
      <c r="E461" s="6">
        <v>246</v>
      </c>
      <c r="F461" s="6">
        <v>194</v>
      </c>
      <c r="G461" s="6">
        <v>138</v>
      </c>
      <c r="H461" s="6">
        <v>235</v>
      </c>
      <c r="I461" s="6">
        <v>248</v>
      </c>
      <c r="J461" s="6">
        <f t="shared" si="57"/>
        <v>1296</v>
      </c>
      <c r="L461" s="6" t="s">
        <v>6</v>
      </c>
      <c r="M461" s="7">
        <f>SUM(G458:G465)</f>
        <v>866</v>
      </c>
      <c r="O461" s="8"/>
      <c r="P461" s="7"/>
    </row>
    <row r="462" spans="1:16">
      <c r="A462" s="6" t="s">
        <v>464</v>
      </c>
      <c r="B462" s="6" t="s">
        <v>901</v>
      </c>
      <c r="C462" s="6" t="s">
        <v>1468</v>
      </c>
      <c r="D462" s="6">
        <v>146</v>
      </c>
      <c r="E462" s="6">
        <v>202</v>
      </c>
      <c r="F462" s="6">
        <v>179</v>
      </c>
      <c r="G462" s="6">
        <v>172</v>
      </c>
      <c r="H462" s="6">
        <v>212</v>
      </c>
      <c r="I462" s="6">
        <v>149</v>
      </c>
      <c r="J462" s="6">
        <f t="shared" si="57"/>
        <v>1060</v>
      </c>
      <c r="L462" s="6" t="s">
        <v>7</v>
      </c>
      <c r="M462" s="7">
        <f>SUM(H458:H465)</f>
        <v>1016</v>
      </c>
      <c r="O462" s="8"/>
      <c r="P462" s="7"/>
    </row>
    <row r="463" spans="1:16">
      <c r="A463" s="6" t="s">
        <v>464</v>
      </c>
      <c r="B463" s="6" t="s">
        <v>1170</v>
      </c>
      <c r="C463" s="6" t="s">
        <v>1469</v>
      </c>
      <c r="D463" s="6">
        <v>191</v>
      </c>
      <c r="E463" s="6">
        <v>192</v>
      </c>
      <c r="F463" s="6">
        <v>151</v>
      </c>
      <c r="G463" s="6">
        <v>155</v>
      </c>
      <c r="H463" s="6">
        <v>256</v>
      </c>
      <c r="I463" s="6">
        <v>190</v>
      </c>
      <c r="J463" s="6">
        <f t="shared" si="57"/>
        <v>1135</v>
      </c>
      <c r="L463" s="6" t="s">
        <v>8</v>
      </c>
      <c r="M463" s="7">
        <f>SUM(I458:I465)</f>
        <v>1047</v>
      </c>
      <c r="O463" s="8"/>
      <c r="P463" s="7"/>
    </row>
    <row r="464" spans="1:16">
      <c r="A464" s="6" t="s">
        <v>464</v>
      </c>
      <c r="B464" s="6" t="s">
        <v>1245</v>
      </c>
      <c r="C464" s="6" t="s">
        <v>762</v>
      </c>
      <c r="D464" s="6">
        <v>259</v>
      </c>
      <c r="E464" s="6">
        <v>242</v>
      </c>
      <c r="F464" s="6">
        <v>177</v>
      </c>
      <c r="G464" s="6">
        <v>206</v>
      </c>
      <c r="H464" s="6">
        <v>149</v>
      </c>
      <c r="I464" s="6">
        <v>202</v>
      </c>
      <c r="J464" s="6">
        <f t="shared" si="57"/>
        <v>1235</v>
      </c>
      <c r="L464" s="6"/>
      <c r="M464" s="7"/>
      <c r="O464" s="8"/>
      <c r="P464" s="7"/>
    </row>
    <row r="465" spans="1:16">
      <c r="A465" s="6" t="s">
        <v>464</v>
      </c>
      <c r="B465" s="6"/>
      <c r="C465" s="6"/>
      <c r="D465" s="6"/>
      <c r="E465" s="6"/>
      <c r="F465" s="6"/>
      <c r="G465" s="6"/>
      <c r="H465" s="6"/>
      <c r="I465" s="6"/>
      <c r="J465" s="6">
        <f t="shared" si="57"/>
        <v>0</v>
      </c>
      <c r="L465" s="6"/>
      <c r="M465" s="7"/>
      <c r="O465" s="8"/>
      <c r="P465" s="7"/>
    </row>
    <row r="466" spans="1:16">
      <c r="A466" s="2" t="s">
        <v>817</v>
      </c>
      <c r="B466" s="2" t="s">
        <v>1236</v>
      </c>
      <c r="C466" s="2" t="s">
        <v>1470</v>
      </c>
      <c r="D466" s="2">
        <v>214</v>
      </c>
      <c r="E466" s="2">
        <v>188</v>
      </c>
      <c r="F466" s="2">
        <v>214</v>
      </c>
      <c r="G466" s="2">
        <v>265</v>
      </c>
      <c r="H466" s="2">
        <v>213</v>
      </c>
      <c r="I466" s="2">
        <v>206</v>
      </c>
      <c r="J466" s="3">
        <f>SUM(D466:I466)</f>
        <v>1300</v>
      </c>
      <c r="L466" s="2" t="s">
        <v>3</v>
      </c>
      <c r="M466" s="3">
        <f>SUM(D466:D473)</f>
        <v>1008</v>
      </c>
      <c r="O466" s="4" t="str">
        <f>A466</f>
        <v>Lindenwood</v>
      </c>
      <c r="P466" s="3">
        <f>SUM(M466:M471)</f>
        <v>6011</v>
      </c>
    </row>
    <row r="467" spans="1:16">
      <c r="A467" s="2" t="s">
        <v>817</v>
      </c>
      <c r="B467" s="2" t="s">
        <v>1084</v>
      </c>
      <c r="C467" s="2" t="s">
        <v>1471</v>
      </c>
      <c r="D467" s="2"/>
      <c r="E467" s="2"/>
      <c r="F467" s="2"/>
      <c r="G467" s="2"/>
      <c r="H467" s="2">
        <v>255</v>
      </c>
      <c r="I467" s="2">
        <v>190</v>
      </c>
      <c r="J467" s="3">
        <f t="shared" ref="J467:J473" si="58">SUM(D467:I467)</f>
        <v>445</v>
      </c>
      <c r="L467" s="2" t="s">
        <v>4</v>
      </c>
      <c r="M467" s="3">
        <f>SUM(E466:E473)</f>
        <v>977</v>
      </c>
      <c r="O467" s="4"/>
      <c r="P467" s="3"/>
    </row>
    <row r="468" spans="1:16">
      <c r="A468" s="2" t="s">
        <v>817</v>
      </c>
      <c r="B468" s="2" t="s">
        <v>1260</v>
      </c>
      <c r="C468" s="2" t="s">
        <v>1472</v>
      </c>
      <c r="D468" s="2">
        <v>190</v>
      </c>
      <c r="E468" s="2">
        <v>213</v>
      </c>
      <c r="F468" s="2">
        <v>193</v>
      </c>
      <c r="G468" s="2">
        <v>228</v>
      </c>
      <c r="H468" s="2">
        <v>173</v>
      </c>
      <c r="I468" s="2">
        <v>269</v>
      </c>
      <c r="J468" s="3">
        <f t="shared" si="58"/>
        <v>1266</v>
      </c>
      <c r="L468" s="2" t="s">
        <v>5</v>
      </c>
      <c r="M468" s="3">
        <f>SUM(F466:F473)</f>
        <v>954</v>
      </c>
      <c r="O468" s="4"/>
      <c r="P468" s="3"/>
    </row>
    <row r="469" spans="1:16">
      <c r="A469" s="2" t="s">
        <v>817</v>
      </c>
      <c r="B469" s="2" t="s">
        <v>1473</v>
      </c>
      <c r="C469" s="2" t="s">
        <v>1474</v>
      </c>
      <c r="D469" s="2"/>
      <c r="E469" s="2"/>
      <c r="F469" s="2"/>
      <c r="G469" s="2"/>
      <c r="H469" s="2"/>
      <c r="I469" s="2"/>
      <c r="J469" s="3">
        <f t="shared" si="58"/>
        <v>0</v>
      </c>
      <c r="L469" s="2" t="s">
        <v>6</v>
      </c>
      <c r="M469" s="3">
        <f>SUM(G466:G473)</f>
        <v>1034</v>
      </c>
      <c r="O469" s="4"/>
      <c r="P469" s="3"/>
    </row>
    <row r="470" spans="1:16">
      <c r="A470" s="2" t="s">
        <v>817</v>
      </c>
      <c r="B470" s="2" t="s">
        <v>912</v>
      </c>
      <c r="C470" s="2" t="s">
        <v>1475</v>
      </c>
      <c r="D470" s="2">
        <v>204</v>
      </c>
      <c r="E470" s="2">
        <v>212</v>
      </c>
      <c r="F470" s="2">
        <v>188</v>
      </c>
      <c r="G470" s="2">
        <v>159</v>
      </c>
      <c r="H470" s="2"/>
      <c r="I470" s="2"/>
      <c r="J470" s="3">
        <f t="shared" si="58"/>
        <v>763</v>
      </c>
      <c r="L470" s="2" t="s">
        <v>7</v>
      </c>
      <c r="M470" s="3">
        <f>SUM(H466:H473)</f>
        <v>1024</v>
      </c>
      <c r="O470" s="4"/>
      <c r="P470" s="3"/>
    </row>
    <row r="471" spans="1:16">
      <c r="A471" s="2" t="s">
        <v>817</v>
      </c>
      <c r="B471" s="2" t="s">
        <v>984</v>
      </c>
      <c r="C471" s="2" t="s">
        <v>289</v>
      </c>
      <c r="D471" s="2"/>
      <c r="E471" s="2"/>
      <c r="F471" s="2"/>
      <c r="G471" s="2">
        <v>183</v>
      </c>
      <c r="H471" s="2">
        <v>204</v>
      </c>
      <c r="I471" s="2">
        <v>167</v>
      </c>
      <c r="J471" s="3">
        <f t="shared" si="58"/>
        <v>554</v>
      </c>
      <c r="L471" s="2" t="s">
        <v>8</v>
      </c>
      <c r="M471" s="3">
        <f>SUM(I466:I473)</f>
        <v>1014</v>
      </c>
      <c r="O471" s="4"/>
      <c r="P471" s="3"/>
    </row>
    <row r="472" spans="1:16">
      <c r="A472" s="2" t="s">
        <v>817</v>
      </c>
      <c r="B472" s="2" t="s">
        <v>1476</v>
      </c>
      <c r="C472" s="2" t="s">
        <v>1477</v>
      </c>
      <c r="D472" s="2">
        <v>221</v>
      </c>
      <c r="E472" s="2">
        <v>180</v>
      </c>
      <c r="F472" s="2">
        <v>188</v>
      </c>
      <c r="G472" s="2">
        <v>199</v>
      </c>
      <c r="H472" s="2">
        <v>179</v>
      </c>
      <c r="I472" s="2">
        <v>182</v>
      </c>
      <c r="J472" s="3">
        <f t="shared" si="58"/>
        <v>1149</v>
      </c>
      <c r="L472" s="3"/>
      <c r="M472" s="3"/>
      <c r="O472" s="4"/>
      <c r="P472" s="3"/>
    </row>
    <row r="473" spans="1:16">
      <c r="A473" s="4" t="s">
        <v>817</v>
      </c>
      <c r="B473" s="2" t="s">
        <v>1478</v>
      </c>
      <c r="C473" s="2" t="s">
        <v>1479</v>
      </c>
      <c r="D473" s="2">
        <v>179</v>
      </c>
      <c r="E473" s="2">
        <v>184</v>
      </c>
      <c r="F473" s="2">
        <v>171</v>
      </c>
      <c r="G473" s="2"/>
      <c r="H473" s="2"/>
      <c r="I473" s="2"/>
      <c r="J473" s="3">
        <f t="shared" si="58"/>
        <v>534</v>
      </c>
      <c r="L473" s="2"/>
      <c r="M473" s="3"/>
      <c r="O473" s="4"/>
      <c r="P473" s="3"/>
    </row>
    <row r="474" spans="1:16">
      <c r="A474" s="6" t="s">
        <v>575</v>
      </c>
      <c r="B474" s="6" t="s">
        <v>1480</v>
      </c>
      <c r="C474" s="6" t="s">
        <v>1481</v>
      </c>
      <c r="D474" s="6"/>
      <c r="E474" s="6"/>
      <c r="F474" s="6"/>
      <c r="G474" s="6">
        <v>181</v>
      </c>
      <c r="H474" s="6">
        <v>181</v>
      </c>
      <c r="I474" s="6">
        <v>143</v>
      </c>
      <c r="J474" s="6">
        <f>SUM(D474:I474)</f>
        <v>505</v>
      </c>
      <c r="L474" s="6" t="s">
        <v>3</v>
      </c>
      <c r="M474" s="7">
        <f>SUM(D474:D481)</f>
        <v>1009</v>
      </c>
      <c r="O474" s="8" t="str">
        <f>A474</f>
        <v>Pikeville</v>
      </c>
      <c r="P474" s="7">
        <f>SUM(M474:M479)</f>
        <v>5656</v>
      </c>
    </row>
    <row r="475" spans="1:16">
      <c r="A475" s="6" t="s">
        <v>575</v>
      </c>
      <c r="B475" s="6" t="s">
        <v>1482</v>
      </c>
      <c r="C475" s="6" t="s">
        <v>527</v>
      </c>
      <c r="D475" s="6"/>
      <c r="E475" s="6">
        <v>205</v>
      </c>
      <c r="F475" s="6">
        <v>192</v>
      </c>
      <c r="G475" s="6">
        <v>190</v>
      </c>
      <c r="H475" s="6">
        <v>188</v>
      </c>
      <c r="I475" s="6">
        <v>186</v>
      </c>
      <c r="J475" s="6">
        <f t="shared" ref="J475:J481" si="59">SUM(D475:I475)</f>
        <v>961</v>
      </c>
      <c r="L475" s="6" t="s">
        <v>4</v>
      </c>
      <c r="M475" s="7">
        <f>SUM(E474:E481)</f>
        <v>942</v>
      </c>
      <c r="O475" s="8"/>
      <c r="P475" s="7"/>
    </row>
    <row r="476" spans="1:16">
      <c r="A476" s="6" t="s">
        <v>575</v>
      </c>
      <c r="B476" s="6" t="s">
        <v>1483</v>
      </c>
      <c r="C476" s="6" t="s">
        <v>1484</v>
      </c>
      <c r="D476" s="6">
        <v>150</v>
      </c>
      <c r="E476" s="6">
        <v>201</v>
      </c>
      <c r="F476" s="6">
        <v>211</v>
      </c>
      <c r="G476" s="6">
        <v>222</v>
      </c>
      <c r="H476" s="6">
        <v>193</v>
      </c>
      <c r="I476" s="6">
        <v>184</v>
      </c>
      <c r="J476" s="6">
        <f t="shared" si="59"/>
        <v>1161</v>
      </c>
      <c r="L476" s="6" t="s">
        <v>5</v>
      </c>
      <c r="M476" s="7">
        <f>SUM(F474:F481)</f>
        <v>889</v>
      </c>
      <c r="O476" s="8"/>
      <c r="P476" s="7"/>
    </row>
    <row r="477" spans="1:16">
      <c r="A477" s="6" t="s">
        <v>575</v>
      </c>
      <c r="B477" s="6" t="s">
        <v>1093</v>
      </c>
      <c r="C477" s="6" t="s">
        <v>1485</v>
      </c>
      <c r="D477" s="6">
        <v>212</v>
      </c>
      <c r="E477" s="6">
        <v>143</v>
      </c>
      <c r="F477" s="6">
        <v>183</v>
      </c>
      <c r="G477" s="6">
        <v>237</v>
      </c>
      <c r="H477" s="6">
        <v>187</v>
      </c>
      <c r="I477" s="6">
        <v>161</v>
      </c>
      <c r="J477" s="6">
        <f t="shared" si="59"/>
        <v>1123</v>
      </c>
      <c r="L477" s="6" t="s">
        <v>6</v>
      </c>
      <c r="M477" s="7">
        <f>SUM(G474:G481)</f>
        <v>977</v>
      </c>
      <c r="O477" s="8"/>
      <c r="P477" s="7"/>
    </row>
    <row r="478" spans="1:16">
      <c r="A478" s="6" t="s">
        <v>575</v>
      </c>
      <c r="B478" s="6" t="s">
        <v>1486</v>
      </c>
      <c r="C478" s="6" t="s">
        <v>58</v>
      </c>
      <c r="D478" s="6">
        <v>236</v>
      </c>
      <c r="E478" s="6">
        <v>191</v>
      </c>
      <c r="F478" s="6">
        <v>148</v>
      </c>
      <c r="G478" s="6"/>
      <c r="H478" s="6"/>
      <c r="I478" s="6"/>
      <c r="J478" s="6">
        <f t="shared" si="59"/>
        <v>575</v>
      </c>
      <c r="L478" s="6" t="s">
        <v>7</v>
      </c>
      <c r="M478" s="7">
        <f>SUM(H474:H481)</f>
        <v>920</v>
      </c>
      <c r="O478" s="8"/>
      <c r="P478" s="7"/>
    </row>
    <row r="479" spans="1:16">
      <c r="A479" s="6" t="s">
        <v>575</v>
      </c>
      <c r="B479" s="6" t="s">
        <v>984</v>
      </c>
      <c r="C479" s="6" t="s">
        <v>1487</v>
      </c>
      <c r="D479" s="6">
        <v>257</v>
      </c>
      <c r="E479" s="6">
        <v>202</v>
      </c>
      <c r="F479" s="6">
        <v>155</v>
      </c>
      <c r="G479" s="6">
        <v>147</v>
      </c>
      <c r="H479" s="6"/>
      <c r="I479" s="6"/>
      <c r="J479" s="6">
        <f t="shared" si="59"/>
        <v>761</v>
      </c>
      <c r="L479" s="6" t="s">
        <v>8</v>
      </c>
      <c r="M479" s="7">
        <f>SUM(I474:I481)</f>
        <v>919</v>
      </c>
      <c r="O479" s="8"/>
      <c r="P479" s="7"/>
    </row>
    <row r="480" spans="1:16">
      <c r="A480" s="6" t="s">
        <v>575</v>
      </c>
      <c r="B480" s="6" t="s">
        <v>903</v>
      </c>
      <c r="C480" s="6" t="s">
        <v>1488</v>
      </c>
      <c r="D480" s="6">
        <v>154</v>
      </c>
      <c r="E480" s="6"/>
      <c r="F480" s="6"/>
      <c r="G480" s="6"/>
      <c r="H480" s="6"/>
      <c r="I480" s="6"/>
      <c r="J480" s="6">
        <f t="shared" si="59"/>
        <v>154</v>
      </c>
      <c r="L480" s="6"/>
      <c r="M480" s="7"/>
      <c r="O480" s="8"/>
      <c r="P480" s="7"/>
    </row>
    <row r="481" spans="1:16">
      <c r="A481" s="6" t="s">
        <v>575</v>
      </c>
      <c r="B481" s="6" t="s">
        <v>88</v>
      </c>
      <c r="C481" s="6" t="s">
        <v>1489</v>
      </c>
      <c r="D481" s="6"/>
      <c r="E481" s="6"/>
      <c r="F481" s="6"/>
      <c r="G481" s="6"/>
      <c r="H481" s="6">
        <v>171</v>
      </c>
      <c r="I481" s="6">
        <v>245</v>
      </c>
      <c r="J481" s="6">
        <f t="shared" si="59"/>
        <v>416</v>
      </c>
      <c r="L481" s="6"/>
      <c r="M481" s="7"/>
      <c r="O481" s="8"/>
      <c r="P481" s="7"/>
    </row>
    <row r="482" spans="1:16">
      <c r="A482" s="2" t="s">
        <v>713</v>
      </c>
      <c r="B482" s="2" t="s">
        <v>1490</v>
      </c>
      <c r="C482" s="2" t="s">
        <v>1491</v>
      </c>
      <c r="D482" s="2">
        <v>214</v>
      </c>
      <c r="E482" s="2">
        <v>196</v>
      </c>
      <c r="F482" s="2">
        <v>212</v>
      </c>
      <c r="G482" s="2">
        <v>173</v>
      </c>
      <c r="H482" s="2">
        <v>184</v>
      </c>
      <c r="I482" s="2">
        <v>188</v>
      </c>
      <c r="J482" s="3">
        <f>SUM(D482:I482)</f>
        <v>1167</v>
      </c>
      <c r="L482" s="2" t="s">
        <v>3</v>
      </c>
      <c r="M482" s="3">
        <f>SUM(D482:D489)</f>
        <v>895</v>
      </c>
      <c r="O482" s="4" t="str">
        <f>A482</f>
        <v>Mount Mercy</v>
      </c>
      <c r="P482" s="3">
        <f>SUM(M482:M487)</f>
        <v>5422</v>
      </c>
    </row>
    <row r="483" spans="1:16">
      <c r="A483" s="2" t="s">
        <v>713</v>
      </c>
      <c r="B483" s="2" t="s">
        <v>1175</v>
      </c>
      <c r="C483" s="2" t="s">
        <v>1492</v>
      </c>
      <c r="D483" s="2">
        <v>148</v>
      </c>
      <c r="E483" s="2"/>
      <c r="F483" s="2">
        <v>158</v>
      </c>
      <c r="G483" s="2"/>
      <c r="H483" s="2"/>
      <c r="I483" s="2">
        <v>211</v>
      </c>
      <c r="J483" s="3">
        <f t="shared" ref="J483:J489" si="60">SUM(D483:I483)</f>
        <v>517</v>
      </c>
      <c r="L483" s="2" t="s">
        <v>4</v>
      </c>
      <c r="M483" s="3">
        <f>SUM(E482:E489)</f>
        <v>905</v>
      </c>
      <c r="O483" s="4"/>
      <c r="P483" s="3"/>
    </row>
    <row r="484" spans="1:16">
      <c r="A484" s="2" t="s">
        <v>713</v>
      </c>
      <c r="B484" s="2" t="s">
        <v>1203</v>
      </c>
      <c r="C484" s="2" t="s">
        <v>1493</v>
      </c>
      <c r="D484" s="2"/>
      <c r="E484" s="2">
        <v>143</v>
      </c>
      <c r="F484" s="2"/>
      <c r="G484" s="2"/>
      <c r="H484" s="2">
        <v>151</v>
      </c>
      <c r="I484" s="2"/>
      <c r="J484" s="3">
        <f t="shared" si="60"/>
        <v>294</v>
      </c>
      <c r="L484" s="2" t="s">
        <v>5</v>
      </c>
      <c r="M484" s="3">
        <f>SUM(F482:F489)</f>
        <v>875</v>
      </c>
      <c r="O484" s="4"/>
      <c r="P484" s="3"/>
    </row>
    <row r="485" spans="1:16">
      <c r="A485" s="2" t="s">
        <v>713</v>
      </c>
      <c r="B485" s="2" t="s">
        <v>1494</v>
      </c>
      <c r="C485" s="2" t="s">
        <v>1495</v>
      </c>
      <c r="D485" s="2">
        <v>166</v>
      </c>
      <c r="E485" s="2"/>
      <c r="F485" s="2"/>
      <c r="G485" s="2"/>
      <c r="H485" s="2">
        <v>189</v>
      </c>
      <c r="I485" s="2">
        <v>196</v>
      </c>
      <c r="J485" s="3">
        <f t="shared" si="60"/>
        <v>551</v>
      </c>
      <c r="L485" s="2" t="s">
        <v>6</v>
      </c>
      <c r="M485" s="3">
        <f>SUM(G482:G489)</f>
        <v>818</v>
      </c>
      <c r="O485" s="4"/>
      <c r="P485" s="3"/>
    </row>
    <row r="486" spans="1:16">
      <c r="A486" s="2" t="s">
        <v>713</v>
      </c>
      <c r="B486" s="2" t="s">
        <v>195</v>
      </c>
      <c r="C486" s="2" t="s">
        <v>1496</v>
      </c>
      <c r="D486" s="2"/>
      <c r="E486" s="2">
        <v>201</v>
      </c>
      <c r="F486" s="2">
        <v>165</v>
      </c>
      <c r="G486" s="2">
        <v>147</v>
      </c>
      <c r="H486" s="2"/>
      <c r="I486" s="2"/>
      <c r="J486" s="3">
        <f t="shared" si="60"/>
        <v>513</v>
      </c>
      <c r="L486" s="2" t="s">
        <v>7</v>
      </c>
      <c r="M486" s="3">
        <f>SUM(H482:H489)</f>
        <v>905</v>
      </c>
      <c r="O486" s="4"/>
      <c r="P486" s="3"/>
    </row>
    <row r="487" spans="1:16">
      <c r="A487" s="2" t="s">
        <v>713</v>
      </c>
      <c r="B487" s="2" t="s">
        <v>1497</v>
      </c>
      <c r="C487" s="2" t="s">
        <v>1498</v>
      </c>
      <c r="D487" s="2">
        <v>163</v>
      </c>
      <c r="E487" s="2"/>
      <c r="F487" s="2"/>
      <c r="G487" s="2">
        <v>159</v>
      </c>
      <c r="H487" s="2"/>
      <c r="I487" s="2"/>
      <c r="J487" s="3">
        <f t="shared" si="60"/>
        <v>322</v>
      </c>
      <c r="L487" s="2" t="s">
        <v>8</v>
      </c>
      <c r="M487" s="3">
        <f>SUM(I482:I489)</f>
        <v>1024</v>
      </c>
      <c r="O487" s="4"/>
      <c r="P487" s="3"/>
    </row>
    <row r="488" spans="1:16">
      <c r="A488" s="2" t="s">
        <v>713</v>
      </c>
      <c r="B488" s="2" t="s">
        <v>1103</v>
      </c>
      <c r="C488" s="2" t="s">
        <v>1499</v>
      </c>
      <c r="D488" s="2"/>
      <c r="E488" s="2">
        <v>190</v>
      </c>
      <c r="F488" s="2">
        <v>186</v>
      </c>
      <c r="G488" s="2">
        <v>169</v>
      </c>
      <c r="H488" s="2">
        <v>165</v>
      </c>
      <c r="I488" s="2">
        <v>237</v>
      </c>
      <c r="J488" s="3">
        <f t="shared" si="60"/>
        <v>947</v>
      </c>
      <c r="L488" s="3"/>
      <c r="M488" s="3"/>
      <c r="O488" s="4"/>
      <c r="P488" s="3"/>
    </row>
    <row r="489" spans="1:16">
      <c r="A489" s="2" t="s">
        <v>713</v>
      </c>
      <c r="B489" s="2" t="s">
        <v>1500</v>
      </c>
      <c r="C489" s="2" t="s">
        <v>1501</v>
      </c>
      <c r="D489" s="2">
        <v>204</v>
      </c>
      <c r="E489" s="2">
        <v>175</v>
      </c>
      <c r="F489" s="2">
        <v>154</v>
      </c>
      <c r="G489" s="2">
        <v>170</v>
      </c>
      <c r="H489" s="2">
        <v>216</v>
      </c>
      <c r="I489" s="2">
        <v>192</v>
      </c>
      <c r="J489" s="3">
        <f t="shared" si="60"/>
        <v>1111</v>
      </c>
      <c r="L489" s="2"/>
      <c r="M489" s="3"/>
      <c r="O489" s="4"/>
      <c r="P489" s="3"/>
    </row>
    <row r="490" spans="1:16">
      <c r="A490" s="6" t="s">
        <v>363</v>
      </c>
      <c r="B490" s="6" t="s">
        <v>1502</v>
      </c>
      <c r="C490" s="6" t="s">
        <v>1503</v>
      </c>
      <c r="D490" s="6">
        <v>159</v>
      </c>
      <c r="E490" s="6">
        <v>197</v>
      </c>
      <c r="F490" s="6">
        <v>173</v>
      </c>
      <c r="G490" s="6">
        <v>200</v>
      </c>
      <c r="H490" s="6">
        <v>148</v>
      </c>
      <c r="I490" s="6">
        <v>152</v>
      </c>
      <c r="J490" s="6">
        <f>SUM(D490:I490)</f>
        <v>1029</v>
      </c>
      <c r="L490" s="6" t="s">
        <v>3</v>
      </c>
      <c r="M490" s="7">
        <f>SUM(D490:D497)</f>
        <v>875</v>
      </c>
      <c r="O490" s="8" t="str">
        <f>A490</f>
        <v>Kansas Wesleyan</v>
      </c>
      <c r="P490" s="7">
        <f>SUM(M490:M495)</f>
        <v>4997</v>
      </c>
    </row>
    <row r="491" spans="1:16">
      <c r="A491" s="6" t="s">
        <v>363</v>
      </c>
      <c r="B491" s="6" t="s">
        <v>1504</v>
      </c>
      <c r="C491" s="6" t="s">
        <v>1505</v>
      </c>
      <c r="D491" s="6">
        <v>195</v>
      </c>
      <c r="E491" s="6">
        <v>124</v>
      </c>
      <c r="F491" s="6">
        <v>138</v>
      </c>
      <c r="G491" s="6">
        <v>149</v>
      </c>
      <c r="H491" s="6">
        <v>207</v>
      </c>
      <c r="I491" s="6">
        <v>163</v>
      </c>
      <c r="J491" s="6">
        <f t="shared" ref="J491:J497" si="61">SUM(D491:I491)</f>
        <v>976</v>
      </c>
      <c r="L491" s="6" t="s">
        <v>4</v>
      </c>
      <c r="M491" s="7">
        <f>SUM(E490:E497)</f>
        <v>748</v>
      </c>
      <c r="O491" s="8"/>
      <c r="P491" s="7"/>
    </row>
    <row r="492" spans="1:16">
      <c r="A492" s="6" t="s">
        <v>363</v>
      </c>
      <c r="B492" s="6" t="s">
        <v>1506</v>
      </c>
      <c r="C492" s="6" t="s">
        <v>158</v>
      </c>
      <c r="D492" s="6"/>
      <c r="E492" s="6"/>
      <c r="F492" s="6"/>
      <c r="G492" s="6"/>
      <c r="H492" s="6"/>
      <c r="I492" s="6"/>
      <c r="J492" s="6">
        <f t="shared" si="61"/>
        <v>0</v>
      </c>
      <c r="L492" s="6" t="s">
        <v>5</v>
      </c>
      <c r="M492" s="7">
        <f>SUM(F490:F497)</f>
        <v>821</v>
      </c>
      <c r="O492" s="8"/>
      <c r="P492" s="7"/>
    </row>
    <row r="493" spans="1:16">
      <c r="A493" s="6" t="s">
        <v>363</v>
      </c>
      <c r="B493" s="6" t="s">
        <v>1334</v>
      </c>
      <c r="C493" s="6" t="s">
        <v>1507</v>
      </c>
      <c r="D493" s="6">
        <v>125</v>
      </c>
      <c r="E493" s="6"/>
      <c r="F493" s="6">
        <v>140</v>
      </c>
      <c r="G493" s="6">
        <v>179</v>
      </c>
      <c r="H493" s="6">
        <v>133</v>
      </c>
      <c r="I493" s="6">
        <v>177</v>
      </c>
      <c r="J493" s="6">
        <f t="shared" si="61"/>
        <v>754</v>
      </c>
      <c r="L493" s="6" t="s">
        <v>6</v>
      </c>
      <c r="M493" s="7">
        <f>SUM(G490:G497)</f>
        <v>879</v>
      </c>
      <c r="O493" s="8"/>
      <c r="P493" s="7"/>
    </row>
    <row r="494" spans="1:16">
      <c r="A494" s="6" t="s">
        <v>363</v>
      </c>
      <c r="B494" s="6" t="s">
        <v>1497</v>
      </c>
      <c r="C494" s="6" t="s">
        <v>1508</v>
      </c>
      <c r="D494" s="6">
        <v>151</v>
      </c>
      <c r="E494" s="6">
        <v>163</v>
      </c>
      <c r="F494" s="6">
        <v>177</v>
      </c>
      <c r="G494" s="6">
        <v>149</v>
      </c>
      <c r="H494" s="6">
        <v>158</v>
      </c>
      <c r="I494" s="6">
        <v>143</v>
      </c>
      <c r="J494" s="6">
        <f t="shared" si="61"/>
        <v>941</v>
      </c>
      <c r="L494" s="6" t="s">
        <v>7</v>
      </c>
      <c r="M494" s="7">
        <f>SUM(H490:H497)</f>
        <v>814</v>
      </c>
      <c r="O494" s="8"/>
      <c r="P494" s="7"/>
    </row>
    <row r="495" spans="1:16">
      <c r="A495" s="6" t="s">
        <v>363</v>
      </c>
      <c r="B495" s="6" t="s">
        <v>400</v>
      </c>
      <c r="C495" s="6" t="s">
        <v>1509</v>
      </c>
      <c r="D495" s="6">
        <v>245</v>
      </c>
      <c r="E495" s="6">
        <v>156</v>
      </c>
      <c r="F495" s="6">
        <v>193</v>
      </c>
      <c r="G495" s="6">
        <v>202</v>
      </c>
      <c r="H495" s="6">
        <v>168</v>
      </c>
      <c r="I495" s="6">
        <v>225</v>
      </c>
      <c r="J495" s="6">
        <f t="shared" si="61"/>
        <v>1189</v>
      </c>
      <c r="L495" s="6" t="s">
        <v>8</v>
      </c>
      <c r="M495" s="7">
        <f>SUM(I490:I497)</f>
        <v>860</v>
      </c>
      <c r="O495" s="8"/>
      <c r="P495" s="7"/>
    </row>
    <row r="496" spans="1:16">
      <c r="A496" s="6" t="s">
        <v>363</v>
      </c>
      <c r="B496" s="6" t="s">
        <v>97</v>
      </c>
      <c r="C496" s="6" t="s">
        <v>766</v>
      </c>
      <c r="D496" s="6"/>
      <c r="E496" s="6">
        <v>108</v>
      </c>
      <c r="F496" s="6"/>
      <c r="G496" s="6"/>
      <c r="H496" s="6"/>
      <c r="I496" s="6"/>
      <c r="J496" s="6">
        <f t="shared" si="61"/>
        <v>108</v>
      </c>
      <c r="L496" s="6"/>
      <c r="M496" s="7"/>
      <c r="O496" s="8"/>
      <c r="P496" s="7"/>
    </row>
    <row r="497" spans="1:16">
      <c r="A497" s="6" t="s">
        <v>363</v>
      </c>
      <c r="B497" s="6"/>
      <c r="C497" s="6"/>
      <c r="D497" s="6"/>
      <c r="E497" s="6"/>
      <c r="F497" s="6"/>
      <c r="G497" s="6"/>
      <c r="H497" s="6"/>
      <c r="I497" s="6"/>
      <c r="J497" s="6">
        <f t="shared" si="61"/>
        <v>0</v>
      </c>
      <c r="L497" s="6"/>
      <c r="M497" s="7"/>
      <c r="O497" s="8"/>
      <c r="P497" s="7"/>
    </row>
    <row r="498" spans="1:16">
      <c r="A498" s="2" t="s">
        <v>180</v>
      </c>
      <c r="B498" s="2" t="s">
        <v>1510</v>
      </c>
      <c r="C498" s="2" t="s">
        <v>1511</v>
      </c>
      <c r="D498" s="2">
        <v>203</v>
      </c>
      <c r="E498" s="2">
        <v>208</v>
      </c>
      <c r="F498" s="2">
        <v>166</v>
      </c>
      <c r="G498" s="2">
        <v>180</v>
      </c>
      <c r="H498" s="2">
        <v>181</v>
      </c>
      <c r="I498" s="2">
        <v>215</v>
      </c>
      <c r="J498" s="3">
        <f>SUM(D498:I498)</f>
        <v>1153</v>
      </c>
      <c r="L498" s="2" t="s">
        <v>3</v>
      </c>
      <c r="M498" s="3">
        <f>SUM(D498:D505)</f>
        <v>856</v>
      </c>
      <c r="O498" s="4" t="str">
        <f>A498</f>
        <v>Indiana Tech</v>
      </c>
      <c r="P498" s="3">
        <f>SUM(M498:M503)</f>
        <v>5068</v>
      </c>
    </row>
    <row r="499" spans="1:16">
      <c r="A499" s="2" t="s">
        <v>180</v>
      </c>
      <c r="B499" s="2" t="s">
        <v>922</v>
      </c>
      <c r="C499" s="2" t="s">
        <v>1512</v>
      </c>
      <c r="D499" s="2">
        <v>184</v>
      </c>
      <c r="E499" s="2">
        <v>148</v>
      </c>
      <c r="F499" s="2">
        <v>107</v>
      </c>
      <c r="G499" s="2"/>
      <c r="H499" s="2">
        <v>151</v>
      </c>
      <c r="I499" s="2">
        <v>177</v>
      </c>
      <c r="J499" s="3">
        <f t="shared" ref="J499:J505" si="62">SUM(D499:I499)</f>
        <v>767</v>
      </c>
      <c r="L499" s="2" t="s">
        <v>4</v>
      </c>
      <c r="M499" s="3">
        <f>SUM(E498:E505)</f>
        <v>857</v>
      </c>
      <c r="O499" s="4"/>
      <c r="P499" s="3"/>
    </row>
    <row r="500" spans="1:16">
      <c r="A500" s="2" t="s">
        <v>180</v>
      </c>
      <c r="B500" s="2" t="s">
        <v>924</v>
      </c>
      <c r="C500" s="2" t="s">
        <v>48</v>
      </c>
      <c r="D500" s="2"/>
      <c r="E500" s="2"/>
      <c r="F500" s="2"/>
      <c r="G500" s="2">
        <v>97</v>
      </c>
      <c r="H500" s="2"/>
      <c r="I500" s="2"/>
      <c r="J500" s="3">
        <f t="shared" si="62"/>
        <v>97</v>
      </c>
      <c r="L500" s="2" t="s">
        <v>5</v>
      </c>
      <c r="M500" s="3">
        <f>SUM(F498:F505)</f>
        <v>812</v>
      </c>
      <c r="O500" s="4"/>
      <c r="P500" s="3"/>
    </row>
    <row r="501" spans="1:16">
      <c r="A501" s="2" t="s">
        <v>180</v>
      </c>
      <c r="B501" s="2" t="s">
        <v>1513</v>
      </c>
      <c r="C501" s="2" t="s">
        <v>1514</v>
      </c>
      <c r="D501" s="2">
        <v>177</v>
      </c>
      <c r="E501" s="2">
        <v>188</v>
      </c>
      <c r="F501" s="2">
        <v>179</v>
      </c>
      <c r="G501" s="2">
        <v>191</v>
      </c>
      <c r="H501" s="2">
        <v>202</v>
      </c>
      <c r="I501" s="2">
        <v>171</v>
      </c>
      <c r="J501" s="3">
        <f t="shared" si="62"/>
        <v>1108</v>
      </c>
      <c r="L501" s="2" t="s">
        <v>6</v>
      </c>
      <c r="M501" s="3">
        <f>SUM(G498:G505)</f>
        <v>772</v>
      </c>
      <c r="O501" s="4"/>
      <c r="P501" s="3"/>
    </row>
    <row r="502" spans="1:16">
      <c r="A502" s="2" t="s">
        <v>180</v>
      </c>
      <c r="B502" s="2" t="s">
        <v>1515</v>
      </c>
      <c r="C502" s="2" t="s">
        <v>1516</v>
      </c>
      <c r="D502" s="2">
        <v>165</v>
      </c>
      <c r="E502" s="2">
        <v>166</v>
      </c>
      <c r="F502" s="2">
        <v>235</v>
      </c>
      <c r="G502" s="2">
        <v>158</v>
      </c>
      <c r="H502" s="2">
        <v>175</v>
      </c>
      <c r="I502" s="2">
        <v>191</v>
      </c>
      <c r="J502" s="3">
        <f t="shared" si="62"/>
        <v>1090</v>
      </c>
      <c r="L502" s="2" t="s">
        <v>7</v>
      </c>
      <c r="M502" s="3">
        <f>SUM(H498:H505)</f>
        <v>846</v>
      </c>
      <c r="O502" s="4"/>
      <c r="P502" s="3"/>
    </row>
    <row r="503" spans="1:16">
      <c r="A503" s="2" t="s">
        <v>180</v>
      </c>
      <c r="B503" s="2" t="s">
        <v>1517</v>
      </c>
      <c r="C503" s="2" t="s">
        <v>618</v>
      </c>
      <c r="D503" s="2">
        <v>127</v>
      </c>
      <c r="E503" s="2">
        <v>147</v>
      </c>
      <c r="F503" s="2">
        <v>125</v>
      </c>
      <c r="G503" s="2">
        <v>146</v>
      </c>
      <c r="H503" s="2">
        <v>137</v>
      </c>
      <c r="I503" s="2">
        <v>171</v>
      </c>
      <c r="J503" s="3">
        <f t="shared" si="62"/>
        <v>853</v>
      </c>
      <c r="L503" s="2" t="s">
        <v>8</v>
      </c>
      <c r="M503" s="3">
        <f>SUM(I498:I505)</f>
        <v>925</v>
      </c>
      <c r="O503" s="4"/>
      <c r="P503" s="3"/>
    </row>
    <row r="504" spans="1:16">
      <c r="A504" s="2" t="s">
        <v>180</v>
      </c>
      <c r="B504" s="2"/>
      <c r="C504" s="2"/>
      <c r="D504" s="2"/>
      <c r="E504" s="2"/>
      <c r="F504" s="2"/>
      <c r="G504" s="2"/>
      <c r="H504" s="2"/>
      <c r="I504" s="2"/>
      <c r="J504" s="3">
        <f t="shared" si="62"/>
        <v>0</v>
      </c>
      <c r="L504" s="3"/>
      <c r="M504" s="3"/>
      <c r="O504" s="4"/>
      <c r="P504" s="3"/>
    </row>
    <row r="505" spans="1:16">
      <c r="A505" s="2" t="s">
        <v>180</v>
      </c>
      <c r="B505" s="2"/>
      <c r="C505" s="2"/>
      <c r="D505" s="2"/>
      <c r="E505" s="2"/>
      <c r="F505" s="2"/>
      <c r="G505" s="2"/>
      <c r="H505" s="2"/>
      <c r="I505" s="2"/>
      <c r="J505" s="3">
        <f t="shared" si="62"/>
        <v>0</v>
      </c>
      <c r="L505" s="2"/>
      <c r="M505" s="3"/>
      <c r="O505" s="4"/>
      <c r="P505" s="3"/>
    </row>
    <row r="506" spans="1:16">
      <c r="A506" s="6" t="s">
        <v>1518</v>
      </c>
      <c r="B506" s="6" t="s">
        <v>1000</v>
      </c>
      <c r="C506" s="6" t="s">
        <v>1519</v>
      </c>
      <c r="D506" s="6">
        <v>119</v>
      </c>
      <c r="E506" s="6">
        <v>165</v>
      </c>
      <c r="F506" s="6">
        <v>163</v>
      </c>
      <c r="G506" s="6">
        <v>196</v>
      </c>
      <c r="H506" s="6">
        <v>170</v>
      </c>
      <c r="I506" s="6">
        <v>167</v>
      </c>
      <c r="J506" s="6">
        <f>SUM(D506:I506)</f>
        <v>980</v>
      </c>
      <c r="L506" s="6" t="s">
        <v>3</v>
      </c>
      <c r="M506" s="7">
        <f>SUM(D506:D513)</f>
        <v>713</v>
      </c>
      <c r="O506" s="8" t="str">
        <f>A506</f>
        <v>Aurora</v>
      </c>
      <c r="P506" s="7">
        <f>SUM(M506:M511)</f>
        <v>4832</v>
      </c>
    </row>
    <row r="507" spans="1:16">
      <c r="A507" s="6" t="s">
        <v>1518</v>
      </c>
      <c r="B507" s="6" t="s">
        <v>979</v>
      </c>
      <c r="C507" s="6" t="s">
        <v>1520</v>
      </c>
      <c r="D507" s="6">
        <v>158</v>
      </c>
      <c r="E507" s="6">
        <v>150</v>
      </c>
      <c r="F507" s="6">
        <v>181</v>
      </c>
      <c r="G507" s="6">
        <v>139</v>
      </c>
      <c r="H507" s="6">
        <v>183</v>
      </c>
      <c r="I507" s="6">
        <v>178</v>
      </c>
      <c r="J507" s="6">
        <f t="shared" ref="J507:J513" si="63">SUM(D507:I507)</f>
        <v>989</v>
      </c>
      <c r="L507" s="6" t="s">
        <v>4</v>
      </c>
      <c r="M507" s="7">
        <f>SUM(E506:E513)</f>
        <v>753</v>
      </c>
      <c r="O507" s="8"/>
      <c r="P507" s="7"/>
    </row>
    <row r="508" spans="1:16">
      <c r="A508" s="6" t="s">
        <v>1518</v>
      </c>
      <c r="B508" s="6" t="s">
        <v>897</v>
      </c>
      <c r="C508" s="6" t="s">
        <v>1521</v>
      </c>
      <c r="D508" s="6">
        <v>108</v>
      </c>
      <c r="E508" s="6"/>
      <c r="F508" s="6">
        <v>268</v>
      </c>
      <c r="G508" s="6">
        <v>166</v>
      </c>
      <c r="H508" s="6">
        <v>150</v>
      </c>
      <c r="I508" s="6">
        <v>178</v>
      </c>
      <c r="J508" s="6">
        <f t="shared" si="63"/>
        <v>870</v>
      </c>
      <c r="L508" s="6" t="s">
        <v>5</v>
      </c>
      <c r="M508" s="7">
        <f>SUM(F506:F513)</f>
        <v>969</v>
      </c>
      <c r="O508" s="8"/>
      <c r="P508" s="7"/>
    </row>
    <row r="509" spans="1:16">
      <c r="A509" s="6" t="s">
        <v>1518</v>
      </c>
      <c r="B509" s="6" t="s">
        <v>1522</v>
      </c>
      <c r="C509" s="6" t="s">
        <v>482</v>
      </c>
      <c r="D509" s="6">
        <v>143</v>
      </c>
      <c r="E509" s="6">
        <v>155</v>
      </c>
      <c r="F509" s="6">
        <v>157</v>
      </c>
      <c r="G509" s="6">
        <v>188</v>
      </c>
      <c r="H509" s="6">
        <v>133</v>
      </c>
      <c r="I509" s="6">
        <v>116</v>
      </c>
      <c r="J509" s="6">
        <f t="shared" si="63"/>
        <v>892</v>
      </c>
      <c r="L509" s="6" t="s">
        <v>6</v>
      </c>
      <c r="M509" s="7">
        <f>SUM(G506:G513)</f>
        <v>820</v>
      </c>
      <c r="O509" s="8"/>
      <c r="P509" s="7"/>
    </row>
    <row r="510" spans="1:16">
      <c r="A510" s="6" t="s">
        <v>1518</v>
      </c>
      <c r="B510" s="6" t="s">
        <v>1172</v>
      </c>
      <c r="C510" s="6" t="s">
        <v>1523</v>
      </c>
      <c r="D510" s="6">
        <v>185</v>
      </c>
      <c r="E510" s="6">
        <v>167</v>
      </c>
      <c r="F510" s="6">
        <v>200</v>
      </c>
      <c r="G510" s="6">
        <v>131</v>
      </c>
      <c r="H510" s="6">
        <v>145</v>
      </c>
      <c r="I510" s="6">
        <v>157</v>
      </c>
      <c r="J510" s="6">
        <f t="shared" si="63"/>
        <v>985</v>
      </c>
      <c r="L510" s="6" t="s">
        <v>7</v>
      </c>
      <c r="M510" s="7">
        <f>SUM(H506:H513)</f>
        <v>781</v>
      </c>
      <c r="O510" s="8"/>
      <c r="P510" s="7"/>
    </row>
    <row r="511" spans="1:16">
      <c r="A511" s="6" t="s">
        <v>1518</v>
      </c>
      <c r="B511" s="6" t="s">
        <v>400</v>
      </c>
      <c r="C511" s="6" t="s">
        <v>1524</v>
      </c>
      <c r="D511" s="6"/>
      <c r="E511" s="6">
        <v>116</v>
      </c>
      <c r="F511" s="6"/>
      <c r="G511" s="6"/>
      <c r="H511" s="6"/>
      <c r="I511" s="6"/>
      <c r="J511" s="6">
        <f t="shared" si="63"/>
        <v>116</v>
      </c>
      <c r="L511" s="6" t="s">
        <v>8</v>
      </c>
      <c r="M511" s="7">
        <f>SUM(I506:I513)</f>
        <v>796</v>
      </c>
      <c r="O511" s="8"/>
      <c r="P511" s="7"/>
    </row>
    <row r="512" spans="1:16">
      <c r="A512" s="6" t="s">
        <v>1518</v>
      </c>
      <c r="B512" s="6"/>
      <c r="C512" s="6"/>
      <c r="D512" s="6"/>
      <c r="E512" s="6"/>
      <c r="F512" s="6"/>
      <c r="G512" s="6"/>
      <c r="H512" s="6"/>
      <c r="I512" s="6"/>
      <c r="J512" s="6">
        <f t="shared" si="63"/>
        <v>0</v>
      </c>
      <c r="L512" s="6"/>
      <c r="M512" s="7"/>
      <c r="O512" s="8"/>
      <c r="P512" s="7"/>
    </row>
    <row r="513" spans="1:16">
      <c r="A513" s="6" t="s">
        <v>1518</v>
      </c>
      <c r="B513" s="6"/>
      <c r="C513" s="6"/>
      <c r="D513" s="6"/>
      <c r="E513" s="6"/>
      <c r="F513" s="6"/>
      <c r="G513" s="6"/>
      <c r="H513" s="6"/>
      <c r="I513" s="6"/>
      <c r="J513" s="6">
        <f t="shared" si="63"/>
        <v>0</v>
      </c>
      <c r="L513" s="6"/>
      <c r="M513" s="7"/>
      <c r="O513" s="8"/>
      <c r="P513" s="7"/>
    </row>
    <row r="514" spans="1:16">
      <c r="A514" s="2" t="s">
        <v>413</v>
      </c>
      <c r="B514" s="2" t="s">
        <v>272</v>
      </c>
      <c r="C514" s="2" t="s">
        <v>1525</v>
      </c>
      <c r="D514" s="2">
        <v>226</v>
      </c>
      <c r="E514" s="2">
        <v>179</v>
      </c>
      <c r="F514" s="2">
        <v>158</v>
      </c>
      <c r="G514" s="2"/>
      <c r="H514" s="2">
        <v>180</v>
      </c>
      <c r="I514" s="2">
        <v>173</v>
      </c>
      <c r="J514" s="3">
        <f>SUM(D514:I514)</f>
        <v>916</v>
      </c>
      <c r="L514" s="2" t="s">
        <v>3</v>
      </c>
      <c r="M514" s="3">
        <f>SUM(D514:D521)</f>
        <v>981</v>
      </c>
      <c r="O514" s="4" t="str">
        <f>A514</f>
        <v>Calumet</v>
      </c>
      <c r="P514" s="3">
        <f>SUM(M514:M519)</f>
        <v>5248</v>
      </c>
    </row>
    <row r="515" spans="1:16">
      <c r="A515" s="2" t="s">
        <v>413</v>
      </c>
      <c r="B515" s="2" t="s">
        <v>128</v>
      </c>
      <c r="C515" s="2" t="s">
        <v>162</v>
      </c>
      <c r="D515" s="2"/>
      <c r="E515" s="2"/>
      <c r="F515" s="2"/>
      <c r="G515" s="2">
        <v>155</v>
      </c>
      <c r="H515" s="2"/>
      <c r="I515" s="2"/>
      <c r="J515" s="3">
        <f t="shared" ref="J515:J521" si="64">SUM(D515:I515)</f>
        <v>155</v>
      </c>
      <c r="L515" s="2" t="s">
        <v>4</v>
      </c>
      <c r="M515" s="3">
        <f>SUM(E514:E521)</f>
        <v>916</v>
      </c>
      <c r="O515" s="4"/>
      <c r="P515" s="3"/>
    </row>
    <row r="516" spans="1:16">
      <c r="A516" s="2" t="s">
        <v>413</v>
      </c>
      <c r="B516" s="2" t="s">
        <v>1526</v>
      </c>
      <c r="C516" s="2" t="s">
        <v>1527</v>
      </c>
      <c r="D516" s="2">
        <v>171</v>
      </c>
      <c r="E516" s="2">
        <v>189</v>
      </c>
      <c r="F516" s="2">
        <v>140</v>
      </c>
      <c r="G516" s="2"/>
      <c r="H516" s="2"/>
      <c r="I516" s="2">
        <v>157</v>
      </c>
      <c r="J516" s="3">
        <f t="shared" si="64"/>
        <v>657</v>
      </c>
      <c r="L516" s="2" t="s">
        <v>5</v>
      </c>
      <c r="M516" s="3">
        <f>SUM(F514:F521)</f>
        <v>805</v>
      </c>
      <c r="O516" s="4"/>
      <c r="P516" s="3"/>
    </row>
    <row r="517" spans="1:16">
      <c r="A517" s="2" t="s">
        <v>413</v>
      </c>
      <c r="B517" s="2" t="s">
        <v>530</v>
      </c>
      <c r="C517" s="2" t="s">
        <v>1528</v>
      </c>
      <c r="D517" s="2"/>
      <c r="E517" s="2"/>
      <c r="F517" s="2"/>
      <c r="G517" s="2">
        <v>146</v>
      </c>
      <c r="H517" s="2"/>
      <c r="I517" s="2"/>
      <c r="J517" s="3">
        <f t="shared" si="64"/>
        <v>146</v>
      </c>
      <c r="L517" s="2" t="s">
        <v>6</v>
      </c>
      <c r="M517" s="3">
        <f>SUM(G514:G521)</f>
        <v>872</v>
      </c>
      <c r="O517" s="4"/>
      <c r="P517" s="3"/>
    </row>
    <row r="518" spans="1:16">
      <c r="A518" s="2" t="s">
        <v>413</v>
      </c>
      <c r="B518" s="2" t="s">
        <v>993</v>
      </c>
      <c r="C518" s="2" t="s">
        <v>1529</v>
      </c>
      <c r="D518" s="2">
        <v>189</v>
      </c>
      <c r="E518" s="2">
        <v>188</v>
      </c>
      <c r="F518" s="2">
        <v>174</v>
      </c>
      <c r="G518" s="2">
        <v>193</v>
      </c>
      <c r="H518" s="2">
        <v>190</v>
      </c>
      <c r="I518" s="2">
        <v>147</v>
      </c>
      <c r="J518" s="3">
        <f t="shared" si="64"/>
        <v>1081</v>
      </c>
      <c r="L518" s="2" t="s">
        <v>7</v>
      </c>
      <c r="M518" s="3">
        <f>SUM(H514:H521)</f>
        <v>863</v>
      </c>
      <c r="O518" s="4"/>
      <c r="P518" s="3"/>
    </row>
    <row r="519" spans="1:16">
      <c r="A519" s="2" t="s">
        <v>413</v>
      </c>
      <c r="B519" s="2" t="s">
        <v>1070</v>
      </c>
      <c r="C519" s="2" t="s">
        <v>1530</v>
      </c>
      <c r="D519" s="2">
        <v>203</v>
      </c>
      <c r="E519" s="2">
        <v>177</v>
      </c>
      <c r="F519" s="2">
        <v>172</v>
      </c>
      <c r="G519" s="2">
        <v>179</v>
      </c>
      <c r="H519" s="2">
        <v>168</v>
      </c>
      <c r="I519" s="2">
        <v>179</v>
      </c>
      <c r="J519" s="3">
        <f t="shared" si="64"/>
        <v>1078</v>
      </c>
      <c r="L519" s="2" t="s">
        <v>8</v>
      </c>
      <c r="M519" s="3">
        <f>SUM(I514:I521)</f>
        <v>811</v>
      </c>
      <c r="O519" s="4"/>
      <c r="P519" s="3"/>
    </row>
    <row r="520" spans="1:16">
      <c r="A520" s="2" t="s">
        <v>413</v>
      </c>
      <c r="B520" s="2" t="s">
        <v>945</v>
      </c>
      <c r="C520" s="2" t="s">
        <v>1531</v>
      </c>
      <c r="D520" s="2">
        <v>192</v>
      </c>
      <c r="E520" s="2">
        <v>183</v>
      </c>
      <c r="F520" s="2">
        <v>161</v>
      </c>
      <c r="G520" s="2"/>
      <c r="H520" s="2">
        <v>188</v>
      </c>
      <c r="I520" s="2">
        <v>155</v>
      </c>
      <c r="J520" s="3">
        <f t="shared" si="64"/>
        <v>879</v>
      </c>
      <c r="L520" s="3"/>
      <c r="M520" s="3"/>
      <c r="O520" s="4"/>
      <c r="P520" s="3"/>
    </row>
    <row r="521" spans="1:16">
      <c r="A521" s="2" t="s">
        <v>413</v>
      </c>
      <c r="B521" s="2" t="s">
        <v>1532</v>
      </c>
      <c r="C521" s="2" t="s">
        <v>1533</v>
      </c>
      <c r="D521" s="2"/>
      <c r="E521" s="2"/>
      <c r="F521" s="2"/>
      <c r="G521" s="2">
        <v>199</v>
      </c>
      <c r="H521" s="2">
        <v>137</v>
      </c>
      <c r="I521" s="2"/>
      <c r="J521" s="3">
        <f t="shared" si="64"/>
        <v>336</v>
      </c>
      <c r="L521" s="2"/>
      <c r="M521" s="3"/>
      <c r="O521" s="4"/>
      <c r="P521" s="3"/>
    </row>
    <row r="522" spans="1:16">
      <c r="A522" s="6" t="s">
        <v>1534</v>
      </c>
      <c r="B522" s="6" t="s">
        <v>400</v>
      </c>
      <c r="C522" s="6" t="s">
        <v>1535</v>
      </c>
      <c r="D522" s="6">
        <v>181</v>
      </c>
      <c r="E522" s="6">
        <v>180</v>
      </c>
      <c r="F522" s="6">
        <v>169</v>
      </c>
      <c r="G522" s="6">
        <v>168</v>
      </c>
      <c r="H522" s="6">
        <v>159</v>
      </c>
      <c r="I522" s="6">
        <v>156</v>
      </c>
      <c r="J522" s="6">
        <f>SUM(D522:I522)</f>
        <v>1013</v>
      </c>
      <c r="L522" s="6" t="s">
        <v>3</v>
      </c>
      <c r="M522" s="7">
        <f>SUM(D522:D529)</f>
        <v>599</v>
      </c>
      <c r="O522" s="8" t="str">
        <f>A522</f>
        <v>Indiana State</v>
      </c>
      <c r="P522" s="7">
        <f>SUM(M522:M527)</f>
        <v>3811</v>
      </c>
    </row>
    <row r="523" spans="1:16">
      <c r="A523" s="6" t="s">
        <v>1534</v>
      </c>
      <c r="B523" s="6" t="s">
        <v>1536</v>
      </c>
      <c r="C523" s="6" t="s">
        <v>1537</v>
      </c>
      <c r="D523" s="6">
        <v>138</v>
      </c>
      <c r="E523" s="6">
        <v>146</v>
      </c>
      <c r="F523" s="6">
        <v>182</v>
      </c>
      <c r="G523" s="6">
        <v>146</v>
      </c>
      <c r="H523" s="6">
        <v>128</v>
      </c>
      <c r="I523" s="6">
        <v>156</v>
      </c>
      <c r="J523" s="6">
        <f t="shared" ref="J523:J529" si="65">SUM(D523:I523)</f>
        <v>896</v>
      </c>
      <c r="L523" s="6" t="s">
        <v>4</v>
      </c>
      <c r="M523" s="7">
        <f>SUM(E522:E529)</f>
        <v>615</v>
      </c>
      <c r="O523" s="8"/>
      <c r="P523" s="7"/>
    </row>
    <row r="524" spans="1:16">
      <c r="A524" s="6" t="s">
        <v>1534</v>
      </c>
      <c r="B524" s="6" t="s">
        <v>945</v>
      </c>
      <c r="C524" s="6" t="s">
        <v>894</v>
      </c>
      <c r="D524" s="6">
        <v>120</v>
      </c>
      <c r="E524" s="6">
        <v>158</v>
      </c>
      <c r="F524" s="6">
        <v>159</v>
      </c>
      <c r="G524" s="6">
        <v>134</v>
      </c>
      <c r="H524" s="6">
        <v>178</v>
      </c>
      <c r="I524" s="6">
        <v>150</v>
      </c>
      <c r="J524" s="6">
        <f t="shared" si="65"/>
        <v>899</v>
      </c>
      <c r="L524" s="6" t="s">
        <v>5</v>
      </c>
      <c r="M524" s="7">
        <f>SUM(F522:F529)</f>
        <v>714</v>
      </c>
      <c r="O524" s="8"/>
      <c r="P524" s="7"/>
    </row>
    <row r="525" spans="1:16">
      <c r="A525" s="6" t="s">
        <v>1534</v>
      </c>
      <c r="B525" s="6" t="s">
        <v>907</v>
      </c>
      <c r="C525" s="6" t="s">
        <v>972</v>
      </c>
      <c r="D525" s="6">
        <v>160</v>
      </c>
      <c r="E525" s="6">
        <v>131</v>
      </c>
      <c r="F525" s="6">
        <v>204</v>
      </c>
      <c r="G525" s="6">
        <v>167</v>
      </c>
      <c r="H525" s="6">
        <v>163</v>
      </c>
      <c r="I525" s="6">
        <v>178</v>
      </c>
      <c r="J525" s="6">
        <f t="shared" si="65"/>
        <v>1003</v>
      </c>
      <c r="L525" s="6" t="s">
        <v>6</v>
      </c>
      <c r="M525" s="7">
        <f>SUM(G522:G529)</f>
        <v>615</v>
      </c>
      <c r="O525" s="8"/>
      <c r="P525" s="7"/>
    </row>
    <row r="526" spans="1:16">
      <c r="A526" s="6" t="s">
        <v>1534</v>
      </c>
      <c r="B526" s="6"/>
      <c r="C526" s="6"/>
      <c r="D526" s="6"/>
      <c r="E526" s="6"/>
      <c r="F526" s="6"/>
      <c r="G526" s="6"/>
      <c r="H526" s="6"/>
      <c r="I526" s="6"/>
      <c r="J526" s="6">
        <f t="shared" si="65"/>
        <v>0</v>
      </c>
      <c r="L526" s="6" t="s">
        <v>7</v>
      </c>
      <c r="M526" s="7">
        <f>SUM(H522:H529)</f>
        <v>628</v>
      </c>
      <c r="O526" s="8"/>
      <c r="P526" s="7"/>
    </row>
    <row r="527" spans="1:16">
      <c r="A527" s="6" t="s">
        <v>1534</v>
      </c>
      <c r="B527" s="6"/>
      <c r="C527" s="6"/>
      <c r="D527" s="6"/>
      <c r="E527" s="6"/>
      <c r="F527" s="6"/>
      <c r="G527" s="6"/>
      <c r="H527" s="6"/>
      <c r="I527" s="6"/>
      <c r="J527" s="6">
        <f t="shared" si="65"/>
        <v>0</v>
      </c>
      <c r="L527" s="6" t="s">
        <v>8</v>
      </c>
      <c r="M527" s="7">
        <f>SUM(I522:I529)</f>
        <v>640</v>
      </c>
      <c r="O527" s="8"/>
      <c r="P527" s="7"/>
    </row>
    <row r="528" spans="1:16">
      <c r="A528" s="6" t="s">
        <v>1534</v>
      </c>
      <c r="B528" s="6"/>
      <c r="C528" s="6"/>
      <c r="D528" s="6"/>
      <c r="E528" s="6"/>
      <c r="F528" s="6"/>
      <c r="G528" s="6"/>
      <c r="H528" s="6"/>
      <c r="I528" s="6"/>
      <c r="J528" s="6">
        <f t="shared" si="65"/>
        <v>0</v>
      </c>
      <c r="L528" s="6"/>
      <c r="M528" s="7"/>
      <c r="O528" s="8"/>
      <c r="P528" s="7"/>
    </row>
    <row r="529" spans="1:16">
      <c r="A529" s="6" t="s">
        <v>1534</v>
      </c>
      <c r="B529" s="6"/>
      <c r="C529" s="6"/>
      <c r="D529" s="6"/>
      <c r="E529" s="6"/>
      <c r="F529" s="6"/>
      <c r="G529" s="6"/>
      <c r="H529" s="6"/>
      <c r="I529" s="6"/>
      <c r="J529" s="6">
        <f t="shared" si="65"/>
        <v>0</v>
      </c>
      <c r="L529" s="6"/>
      <c r="M529" s="7"/>
      <c r="O529" s="8"/>
      <c r="P529" s="7"/>
    </row>
  </sheetData>
  <mergeCells count="1">
    <mergeCell ref="O1:P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workbookViewId="0">
      <selection activeCell="B10" sqref="B10"/>
    </sheetView>
  </sheetViews>
  <sheetFormatPr defaultRowHeight="15"/>
  <cols>
    <col min="1" max="1" width="11.7109375" customWidth="1"/>
    <col min="2" max="2" width="39.28515625" customWidth="1"/>
    <col min="3" max="3" width="26.140625" bestFit="1" customWidth="1"/>
    <col min="6" max="6" width="10.42578125" customWidth="1"/>
    <col min="257" max="257" width="11.7109375" customWidth="1"/>
    <col min="258" max="258" width="39.28515625" customWidth="1"/>
    <col min="259" max="259" width="26.140625" bestFit="1" customWidth="1"/>
    <col min="262" max="262" width="10.42578125" customWidth="1"/>
    <col min="513" max="513" width="11.7109375" customWidth="1"/>
    <col min="514" max="514" width="39.28515625" customWidth="1"/>
    <col min="515" max="515" width="26.140625" bestFit="1" customWidth="1"/>
    <col min="518" max="518" width="10.42578125" customWidth="1"/>
    <col min="769" max="769" width="11.7109375" customWidth="1"/>
    <col min="770" max="770" width="39.28515625" customWidth="1"/>
    <col min="771" max="771" width="26.140625" bestFit="1" customWidth="1"/>
    <col min="774" max="774" width="10.42578125" customWidth="1"/>
    <col min="1025" max="1025" width="11.7109375" customWidth="1"/>
    <col min="1026" max="1026" width="39.28515625" customWidth="1"/>
    <col min="1027" max="1027" width="26.140625" bestFit="1" customWidth="1"/>
    <col min="1030" max="1030" width="10.42578125" customWidth="1"/>
    <col min="1281" max="1281" width="11.7109375" customWidth="1"/>
    <col min="1282" max="1282" width="39.28515625" customWidth="1"/>
    <col min="1283" max="1283" width="26.140625" bestFit="1" customWidth="1"/>
    <col min="1286" max="1286" width="10.42578125" customWidth="1"/>
    <col min="1537" max="1537" width="11.7109375" customWidth="1"/>
    <col min="1538" max="1538" width="39.28515625" customWidth="1"/>
    <col min="1539" max="1539" width="26.140625" bestFit="1" customWidth="1"/>
    <col min="1542" max="1542" width="10.42578125" customWidth="1"/>
    <col min="1793" max="1793" width="11.7109375" customWidth="1"/>
    <col min="1794" max="1794" width="39.28515625" customWidth="1"/>
    <col min="1795" max="1795" width="26.140625" bestFit="1" customWidth="1"/>
    <col min="1798" max="1798" width="10.42578125" customWidth="1"/>
    <col min="2049" max="2049" width="11.7109375" customWidth="1"/>
    <col min="2050" max="2050" width="39.28515625" customWidth="1"/>
    <col min="2051" max="2051" width="26.140625" bestFit="1" customWidth="1"/>
    <col min="2054" max="2054" width="10.42578125" customWidth="1"/>
    <col min="2305" max="2305" width="11.7109375" customWidth="1"/>
    <col min="2306" max="2306" width="39.28515625" customWidth="1"/>
    <col min="2307" max="2307" width="26.140625" bestFit="1" customWidth="1"/>
    <col min="2310" max="2310" width="10.42578125" customWidth="1"/>
    <col min="2561" max="2561" width="11.7109375" customWidth="1"/>
    <col min="2562" max="2562" width="39.28515625" customWidth="1"/>
    <col min="2563" max="2563" width="26.140625" bestFit="1" customWidth="1"/>
    <col min="2566" max="2566" width="10.42578125" customWidth="1"/>
    <col min="2817" max="2817" width="11.7109375" customWidth="1"/>
    <col min="2818" max="2818" width="39.28515625" customWidth="1"/>
    <col min="2819" max="2819" width="26.140625" bestFit="1" customWidth="1"/>
    <col min="2822" max="2822" width="10.42578125" customWidth="1"/>
    <col min="3073" max="3073" width="11.7109375" customWidth="1"/>
    <col min="3074" max="3074" width="39.28515625" customWidth="1"/>
    <col min="3075" max="3075" width="26.140625" bestFit="1" customWidth="1"/>
    <col min="3078" max="3078" width="10.42578125" customWidth="1"/>
    <col min="3329" max="3329" width="11.7109375" customWidth="1"/>
    <col min="3330" max="3330" width="39.28515625" customWidth="1"/>
    <col min="3331" max="3331" width="26.140625" bestFit="1" customWidth="1"/>
    <col min="3334" max="3334" width="10.42578125" customWidth="1"/>
    <col min="3585" max="3585" width="11.7109375" customWidth="1"/>
    <col min="3586" max="3586" width="39.28515625" customWidth="1"/>
    <col min="3587" max="3587" width="26.140625" bestFit="1" customWidth="1"/>
    <col min="3590" max="3590" width="10.42578125" customWidth="1"/>
    <col min="3841" max="3841" width="11.7109375" customWidth="1"/>
    <col min="3842" max="3842" width="39.28515625" customWidth="1"/>
    <col min="3843" max="3843" width="26.140625" bestFit="1" customWidth="1"/>
    <col min="3846" max="3846" width="10.42578125" customWidth="1"/>
    <col min="4097" max="4097" width="11.7109375" customWidth="1"/>
    <col min="4098" max="4098" width="39.28515625" customWidth="1"/>
    <col min="4099" max="4099" width="26.140625" bestFit="1" customWidth="1"/>
    <col min="4102" max="4102" width="10.42578125" customWidth="1"/>
    <col min="4353" max="4353" width="11.7109375" customWidth="1"/>
    <col min="4354" max="4354" width="39.28515625" customWidth="1"/>
    <col min="4355" max="4355" width="26.140625" bestFit="1" customWidth="1"/>
    <col min="4358" max="4358" width="10.42578125" customWidth="1"/>
    <col min="4609" max="4609" width="11.7109375" customWidth="1"/>
    <col min="4610" max="4610" width="39.28515625" customWidth="1"/>
    <col min="4611" max="4611" width="26.140625" bestFit="1" customWidth="1"/>
    <col min="4614" max="4614" width="10.42578125" customWidth="1"/>
    <col min="4865" max="4865" width="11.7109375" customWidth="1"/>
    <col min="4866" max="4866" width="39.28515625" customWidth="1"/>
    <col min="4867" max="4867" width="26.140625" bestFit="1" customWidth="1"/>
    <col min="4870" max="4870" width="10.42578125" customWidth="1"/>
    <col min="5121" max="5121" width="11.7109375" customWidth="1"/>
    <col min="5122" max="5122" width="39.28515625" customWidth="1"/>
    <col min="5123" max="5123" width="26.140625" bestFit="1" customWidth="1"/>
    <col min="5126" max="5126" width="10.42578125" customWidth="1"/>
    <col min="5377" max="5377" width="11.7109375" customWidth="1"/>
    <col min="5378" max="5378" width="39.28515625" customWidth="1"/>
    <col min="5379" max="5379" width="26.140625" bestFit="1" customWidth="1"/>
    <col min="5382" max="5382" width="10.42578125" customWidth="1"/>
    <col min="5633" max="5633" width="11.7109375" customWidth="1"/>
    <col min="5634" max="5634" width="39.28515625" customWidth="1"/>
    <col min="5635" max="5635" width="26.140625" bestFit="1" customWidth="1"/>
    <col min="5638" max="5638" width="10.42578125" customWidth="1"/>
    <col min="5889" max="5889" width="11.7109375" customWidth="1"/>
    <col min="5890" max="5890" width="39.28515625" customWidth="1"/>
    <col min="5891" max="5891" width="26.140625" bestFit="1" customWidth="1"/>
    <col min="5894" max="5894" width="10.42578125" customWidth="1"/>
    <col min="6145" max="6145" width="11.7109375" customWidth="1"/>
    <col min="6146" max="6146" width="39.28515625" customWidth="1"/>
    <col min="6147" max="6147" width="26.140625" bestFit="1" customWidth="1"/>
    <col min="6150" max="6150" width="10.42578125" customWidth="1"/>
    <col min="6401" max="6401" width="11.7109375" customWidth="1"/>
    <col min="6402" max="6402" width="39.28515625" customWidth="1"/>
    <col min="6403" max="6403" width="26.140625" bestFit="1" customWidth="1"/>
    <col min="6406" max="6406" width="10.42578125" customWidth="1"/>
    <col min="6657" max="6657" width="11.7109375" customWidth="1"/>
    <col min="6658" max="6658" width="39.28515625" customWidth="1"/>
    <col min="6659" max="6659" width="26.140625" bestFit="1" customWidth="1"/>
    <col min="6662" max="6662" width="10.42578125" customWidth="1"/>
    <col min="6913" max="6913" width="11.7109375" customWidth="1"/>
    <col min="6914" max="6914" width="39.28515625" customWidth="1"/>
    <col min="6915" max="6915" width="26.140625" bestFit="1" customWidth="1"/>
    <col min="6918" max="6918" width="10.42578125" customWidth="1"/>
    <col min="7169" max="7169" width="11.7109375" customWidth="1"/>
    <col min="7170" max="7170" width="39.28515625" customWidth="1"/>
    <col min="7171" max="7171" width="26.140625" bestFit="1" customWidth="1"/>
    <col min="7174" max="7174" width="10.42578125" customWidth="1"/>
    <col min="7425" max="7425" width="11.7109375" customWidth="1"/>
    <col min="7426" max="7426" width="39.28515625" customWidth="1"/>
    <col min="7427" max="7427" width="26.140625" bestFit="1" customWidth="1"/>
    <col min="7430" max="7430" width="10.42578125" customWidth="1"/>
    <col min="7681" max="7681" width="11.7109375" customWidth="1"/>
    <col min="7682" max="7682" width="39.28515625" customWidth="1"/>
    <col min="7683" max="7683" width="26.140625" bestFit="1" customWidth="1"/>
    <col min="7686" max="7686" width="10.42578125" customWidth="1"/>
    <col min="7937" max="7937" width="11.7109375" customWidth="1"/>
    <col min="7938" max="7938" width="39.28515625" customWidth="1"/>
    <col min="7939" max="7939" width="26.140625" bestFit="1" customWidth="1"/>
    <col min="7942" max="7942" width="10.42578125" customWidth="1"/>
    <col min="8193" max="8193" width="11.7109375" customWidth="1"/>
    <col min="8194" max="8194" width="39.28515625" customWidth="1"/>
    <col min="8195" max="8195" width="26.140625" bestFit="1" customWidth="1"/>
    <col min="8198" max="8198" width="10.42578125" customWidth="1"/>
    <col min="8449" max="8449" width="11.7109375" customWidth="1"/>
    <col min="8450" max="8450" width="39.28515625" customWidth="1"/>
    <col min="8451" max="8451" width="26.140625" bestFit="1" customWidth="1"/>
    <col min="8454" max="8454" width="10.42578125" customWidth="1"/>
    <col min="8705" max="8705" width="11.7109375" customWidth="1"/>
    <col min="8706" max="8706" width="39.28515625" customWidth="1"/>
    <col min="8707" max="8707" width="26.140625" bestFit="1" customWidth="1"/>
    <col min="8710" max="8710" width="10.42578125" customWidth="1"/>
    <col min="8961" max="8961" width="11.7109375" customWidth="1"/>
    <col min="8962" max="8962" width="39.28515625" customWidth="1"/>
    <col min="8963" max="8963" width="26.140625" bestFit="1" customWidth="1"/>
    <col min="8966" max="8966" width="10.42578125" customWidth="1"/>
    <col min="9217" max="9217" width="11.7109375" customWidth="1"/>
    <col min="9218" max="9218" width="39.28515625" customWidth="1"/>
    <col min="9219" max="9219" width="26.140625" bestFit="1" customWidth="1"/>
    <col min="9222" max="9222" width="10.42578125" customWidth="1"/>
    <col min="9473" max="9473" width="11.7109375" customWidth="1"/>
    <col min="9474" max="9474" width="39.28515625" customWidth="1"/>
    <col min="9475" max="9475" width="26.140625" bestFit="1" customWidth="1"/>
    <col min="9478" max="9478" width="10.42578125" customWidth="1"/>
    <col min="9729" max="9729" width="11.7109375" customWidth="1"/>
    <col min="9730" max="9730" width="39.28515625" customWidth="1"/>
    <col min="9731" max="9731" width="26.140625" bestFit="1" customWidth="1"/>
    <col min="9734" max="9734" width="10.42578125" customWidth="1"/>
    <col min="9985" max="9985" width="11.7109375" customWidth="1"/>
    <col min="9986" max="9986" width="39.28515625" customWidth="1"/>
    <col min="9987" max="9987" width="26.140625" bestFit="1" customWidth="1"/>
    <col min="9990" max="9990" width="10.42578125" customWidth="1"/>
    <col min="10241" max="10241" width="11.7109375" customWidth="1"/>
    <col min="10242" max="10242" width="39.28515625" customWidth="1"/>
    <col min="10243" max="10243" width="26.140625" bestFit="1" customWidth="1"/>
    <col min="10246" max="10246" width="10.42578125" customWidth="1"/>
    <col min="10497" max="10497" width="11.7109375" customWidth="1"/>
    <col min="10498" max="10498" width="39.28515625" customWidth="1"/>
    <col min="10499" max="10499" width="26.140625" bestFit="1" customWidth="1"/>
    <col min="10502" max="10502" width="10.42578125" customWidth="1"/>
    <col min="10753" max="10753" width="11.7109375" customWidth="1"/>
    <col min="10754" max="10754" width="39.28515625" customWidth="1"/>
    <col min="10755" max="10755" width="26.140625" bestFit="1" customWidth="1"/>
    <col min="10758" max="10758" width="10.42578125" customWidth="1"/>
    <col min="11009" max="11009" width="11.7109375" customWidth="1"/>
    <col min="11010" max="11010" width="39.28515625" customWidth="1"/>
    <col min="11011" max="11011" width="26.140625" bestFit="1" customWidth="1"/>
    <col min="11014" max="11014" width="10.42578125" customWidth="1"/>
    <col min="11265" max="11265" width="11.7109375" customWidth="1"/>
    <col min="11266" max="11266" width="39.28515625" customWidth="1"/>
    <col min="11267" max="11267" width="26.140625" bestFit="1" customWidth="1"/>
    <col min="11270" max="11270" width="10.42578125" customWidth="1"/>
    <col min="11521" max="11521" width="11.7109375" customWidth="1"/>
    <col min="11522" max="11522" width="39.28515625" customWidth="1"/>
    <col min="11523" max="11523" width="26.140625" bestFit="1" customWidth="1"/>
    <col min="11526" max="11526" width="10.42578125" customWidth="1"/>
    <col min="11777" max="11777" width="11.7109375" customWidth="1"/>
    <col min="11778" max="11778" width="39.28515625" customWidth="1"/>
    <col min="11779" max="11779" width="26.140625" bestFit="1" customWidth="1"/>
    <col min="11782" max="11782" width="10.42578125" customWidth="1"/>
    <col min="12033" max="12033" width="11.7109375" customWidth="1"/>
    <col min="12034" max="12034" width="39.28515625" customWidth="1"/>
    <col min="12035" max="12035" width="26.140625" bestFit="1" customWidth="1"/>
    <col min="12038" max="12038" width="10.42578125" customWidth="1"/>
    <col min="12289" max="12289" width="11.7109375" customWidth="1"/>
    <col min="12290" max="12290" width="39.28515625" customWidth="1"/>
    <col min="12291" max="12291" width="26.140625" bestFit="1" customWidth="1"/>
    <col min="12294" max="12294" width="10.42578125" customWidth="1"/>
    <col min="12545" max="12545" width="11.7109375" customWidth="1"/>
    <col min="12546" max="12546" width="39.28515625" customWidth="1"/>
    <col min="12547" max="12547" width="26.140625" bestFit="1" customWidth="1"/>
    <col min="12550" max="12550" width="10.42578125" customWidth="1"/>
    <col min="12801" max="12801" width="11.7109375" customWidth="1"/>
    <col min="12802" max="12802" width="39.28515625" customWidth="1"/>
    <col min="12803" max="12803" width="26.140625" bestFit="1" customWidth="1"/>
    <col min="12806" max="12806" width="10.42578125" customWidth="1"/>
    <col min="13057" max="13057" width="11.7109375" customWidth="1"/>
    <col min="13058" max="13058" width="39.28515625" customWidth="1"/>
    <col min="13059" max="13059" width="26.140625" bestFit="1" customWidth="1"/>
    <col min="13062" max="13062" width="10.42578125" customWidth="1"/>
    <col min="13313" max="13313" width="11.7109375" customWidth="1"/>
    <col min="13314" max="13314" width="39.28515625" customWidth="1"/>
    <col min="13315" max="13315" width="26.140625" bestFit="1" customWidth="1"/>
    <col min="13318" max="13318" width="10.42578125" customWidth="1"/>
    <col min="13569" max="13569" width="11.7109375" customWidth="1"/>
    <col min="13570" max="13570" width="39.28515625" customWidth="1"/>
    <col min="13571" max="13571" width="26.140625" bestFit="1" customWidth="1"/>
    <col min="13574" max="13574" width="10.42578125" customWidth="1"/>
    <col min="13825" max="13825" width="11.7109375" customWidth="1"/>
    <col min="13826" max="13826" width="39.28515625" customWidth="1"/>
    <col min="13827" max="13827" width="26.140625" bestFit="1" customWidth="1"/>
    <col min="13830" max="13830" width="10.42578125" customWidth="1"/>
    <col min="14081" max="14081" width="11.7109375" customWidth="1"/>
    <col min="14082" max="14082" width="39.28515625" customWidth="1"/>
    <col min="14083" max="14083" width="26.140625" bestFit="1" customWidth="1"/>
    <col min="14086" max="14086" width="10.42578125" customWidth="1"/>
    <col min="14337" max="14337" width="11.7109375" customWidth="1"/>
    <col min="14338" max="14338" width="39.28515625" customWidth="1"/>
    <col min="14339" max="14339" width="26.140625" bestFit="1" customWidth="1"/>
    <col min="14342" max="14342" width="10.42578125" customWidth="1"/>
    <col min="14593" max="14593" width="11.7109375" customWidth="1"/>
    <col min="14594" max="14594" width="39.28515625" customWidth="1"/>
    <col min="14595" max="14595" width="26.140625" bestFit="1" customWidth="1"/>
    <col min="14598" max="14598" width="10.42578125" customWidth="1"/>
    <col min="14849" max="14849" width="11.7109375" customWidth="1"/>
    <col min="14850" max="14850" width="39.28515625" customWidth="1"/>
    <col min="14851" max="14851" width="26.140625" bestFit="1" customWidth="1"/>
    <col min="14854" max="14854" width="10.42578125" customWidth="1"/>
    <col min="15105" max="15105" width="11.7109375" customWidth="1"/>
    <col min="15106" max="15106" width="39.28515625" customWidth="1"/>
    <col min="15107" max="15107" width="26.140625" bestFit="1" customWidth="1"/>
    <col min="15110" max="15110" width="10.42578125" customWidth="1"/>
    <col min="15361" max="15361" width="11.7109375" customWidth="1"/>
    <col min="15362" max="15362" width="39.28515625" customWidth="1"/>
    <col min="15363" max="15363" width="26.140625" bestFit="1" customWidth="1"/>
    <col min="15366" max="15366" width="10.42578125" customWidth="1"/>
    <col min="15617" max="15617" width="11.7109375" customWidth="1"/>
    <col min="15618" max="15618" width="39.28515625" customWidth="1"/>
    <col min="15619" max="15619" width="26.140625" bestFit="1" customWidth="1"/>
    <col min="15622" max="15622" width="10.42578125" customWidth="1"/>
    <col min="15873" max="15873" width="11.7109375" customWidth="1"/>
    <col min="15874" max="15874" width="39.28515625" customWidth="1"/>
    <col min="15875" max="15875" width="26.140625" bestFit="1" customWidth="1"/>
    <col min="15878" max="15878" width="10.42578125" customWidth="1"/>
    <col min="16129" max="16129" width="11.7109375" customWidth="1"/>
    <col min="16130" max="16130" width="39.28515625" customWidth="1"/>
    <col min="16131" max="16131" width="26.140625" bestFit="1" customWidth="1"/>
    <col min="16134" max="16134" width="10.42578125" customWidth="1"/>
  </cols>
  <sheetData>
    <row r="1" spans="1:10" ht="23.25">
      <c r="A1" s="77" t="s">
        <v>1538</v>
      </c>
      <c r="B1" s="77"/>
      <c r="C1" s="77"/>
      <c r="D1" s="77"/>
      <c r="E1" s="77"/>
      <c r="F1" s="77"/>
      <c r="G1" s="77"/>
      <c r="H1" s="77"/>
      <c r="I1" s="77"/>
      <c r="J1" s="77"/>
    </row>
    <row r="2" spans="1:10" ht="20.25" customHeight="1">
      <c r="A2" s="78" t="s">
        <v>1551</v>
      </c>
      <c r="B2" s="78"/>
      <c r="C2" s="78"/>
      <c r="D2" s="78"/>
      <c r="E2" s="78"/>
      <c r="F2" s="78"/>
      <c r="G2" s="78"/>
      <c r="H2" s="78"/>
      <c r="I2" s="78"/>
      <c r="J2" s="78"/>
    </row>
    <row r="3" spans="1:10" ht="12" customHeight="1">
      <c r="A3" s="12"/>
      <c r="B3" s="12"/>
      <c r="C3" s="13"/>
      <c r="D3" s="13"/>
    </row>
    <row r="4" spans="1:10" ht="20.25">
      <c r="A4" s="14" t="s">
        <v>1552</v>
      </c>
      <c r="B4" s="15" t="s">
        <v>1543</v>
      </c>
      <c r="C4" s="16" t="s">
        <v>1553</v>
      </c>
      <c r="D4" s="16" t="s">
        <v>1554</v>
      </c>
      <c r="E4" s="16" t="s">
        <v>1555</v>
      </c>
      <c r="F4" s="16" t="s">
        <v>1556</v>
      </c>
      <c r="G4" s="16" t="s">
        <v>1557</v>
      </c>
    </row>
    <row r="5" spans="1:10" ht="12" customHeight="1" thickBot="1">
      <c r="A5" s="12"/>
      <c r="B5" s="17"/>
      <c r="C5" s="13"/>
      <c r="D5" s="13"/>
    </row>
    <row r="6" spans="1:10" ht="16.5" thickBot="1">
      <c r="A6" s="18">
        <v>1</v>
      </c>
      <c r="B6" s="19" t="s">
        <v>413</v>
      </c>
      <c r="C6" s="23">
        <v>6275</v>
      </c>
      <c r="D6" s="23"/>
      <c r="E6" s="23"/>
      <c r="F6" s="23"/>
      <c r="G6" s="23">
        <f>SUM(C6:F6)</f>
        <v>6275</v>
      </c>
    </row>
    <row r="7" spans="1:10" ht="16.5" thickBot="1">
      <c r="A7" s="18">
        <f>A6+1</f>
        <v>2</v>
      </c>
      <c r="B7" s="24" t="s">
        <v>617</v>
      </c>
      <c r="C7" s="23">
        <v>6132</v>
      </c>
      <c r="D7" s="23"/>
      <c r="E7" s="23"/>
      <c r="F7" s="23"/>
      <c r="G7" s="23">
        <f t="shared" ref="G7:G70" si="0">SUM(C7:F7)</f>
        <v>6132</v>
      </c>
    </row>
    <row r="8" spans="1:10" ht="16.5" thickBot="1">
      <c r="A8" s="18">
        <f t="shared" ref="A8:A71" si="1">A7+1</f>
        <v>3</v>
      </c>
      <c r="B8" s="24" t="s">
        <v>883</v>
      </c>
      <c r="C8" s="23">
        <v>6132</v>
      </c>
      <c r="D8" s="23"/>
      <c r="E8" s="23"/>
      <c r="F8" s="23"/>
      <c r="G8" s="23">
        <f t="shared" si="0"/>
        <v>6132</v>
      </c>
    </row>
    <row r="9" spans="1:10" ht="16.5" thickBot="1">
      <c r="A9" s="18">
        <f t="shared" si="1"/>
        <v>4</v>
      </c>
      <c r="B9" s="28" t="s">
        <v>827</v>
      </c>
      <c r="C9" s="23">
        <v>6105</v>
      </c>
      <c r="D9" s="23"/>
      <c r="E9" s="23"/>
      <c r="F9" s="23"/>
      <c r="G9" s="23">
        <f t="shared" si="0"/>
        <v>6105</v>
      </c>
    </row>
    <row r="10" spans="1:10" ht="16.5" thickBot="1">
      <c r="A10" s="18">
        <f t="shared" si="1"/>
        <v>5</v>
      </c>
      <c r="B10" s="32" t="s">
        <v>763</v>
      </c>
      <c r="C10" s="23">
        <v>6092</v>
      </c>
      <c r="D10" s="23"/>
      <c r="E10" s="23"/>
      <c r="F10" s="23"/>
      <c r="G10" s="23">
        <f t="shared" si="0"/>
        <v>6092</v>
      </c>
    </row>
    <row r="11" spans="1:10" ht="16.5" thickBot="1">
      <c r="A11" s="18">
        <f t="shared" si="1"/>
        <v>6</v>
      </c>
      <c r="B11" s="32" t="s">
        <v>452</v>
      </c>
      <c r="C11" s="23">
        <v>6083</v>
      </c>
      <c r="D11" s="23"/>
      <c r="E11" s="23"/>
      <c r="F11" s="23"/>
      <c r="G11" s="23">
        <f t="shared" si="0"/>
        <v>6083</v>
      </c>
    </row>
    <row r="12" spans="1:10" ht="16.5" thickBot="1">
      <c r="A12" s="18">
        <f t="shared" si="1"/>
        <v>7</v>
      </c>
      <c r="B12" s="32" t="s">
        <v>247</v>
      </c>
      <c r="C12" s="23">
        <v>5989</v>
      </c>
      <c r="D12" s="23"/>
      <c r="E12" s="23"/>
      <c r="F12" s="23"/>
      <c r="G12" s="23">
        <f t="shared" si="0"/>
        <v>5989</v>
      </c>
    </row>
    <row r="13" spans="1:10" ht="16.5" thickBot="1">
      <c r="A13" s="18">
        <f t="shared" si="1"/>
        <v>8</v>
      </c>
      <c r="B13" s="32" t="s">
        <v>675</v>
      </c>
      <c r="C13" s="23">
        <v>5965</v>
      </c>
      <c r="D13" s="23"/>
      <c r="E13" s="23"/>
      <c r="F13" s="23"/>
      <c r="G13" s="23">
        <f t="shared" si="0"/>
        <v>5965</v>
      </c>
    </row>
    <row r="14" spans="1:10" ht="16.5" thickBot="1">
      <c r="A14" s="18">
        <f t="shared" si="1"/>
        <v>9</v>
      </c>
      <c r="B14" s="28" t="s">
        <v>342</v>
      </c>
      <c r="C14" s="23">
        <v>5945</v>
      </c>
      <c r="D14" s="23"/>
      <c r="E14" s="23"/>
      <c r="F14" s="23"/>
      <c r="G14" s="23">
        <f t="shared" si="0"/>
        <v>5945</v>
      </c>
    </row>
    <row r="15" spans="1:10" ht="16.5" thickBot="1">
      <c r="A15" s="18">
        <f t="shared" si="1"/>
        <v>10</v>
      </c>
      <c r="B15" s="32" t="s">
        <v>464</v>
      </c>
      <c r="C15" s="23">
        <v>5913</v>
      </c>
      <c r="D15" s="23"/>
      <c r="E15" s="23"/>
      <c r="F15" s="23"/>
      <c r="G15" s="23">
        <f t="shared" si="0"/>
        <v>5913</v>
      </c>
    </row>
    <row r="16" spans="1:10" ht="16.5" thickBot="1">
      <c r="A16" s="18">
        <f t="shared" si="1"/>
        <v>11</v>
      </c>
      <c r="B16" s="32" t="s">
        <v>231</v>
      </c>
      <c r="C16" s="23">
        <v>5902</v>
      </c>
      <c r="D16" s="23"/>
      <c r="E16" s="23"/>
      <c r="F16" s="23"/>
      <c r="G16" s="23">
        <f t="shared" si="0"/>
        <v>5902</v>
      </c>
    </row>
    <row r="17" spans="1:7" ht="16.5" thickBot="1">
      <c r="A17" s="18">
        <f t="shared" si="1"/>
        <v>12</v>
      </c>
      <c r="B17" s="32" t="s">
        <v>84</v>
      </c>
      <c r="C17" s="23">
        <v>5885</v>
      </c>
      <c r="D17" s="23"/>
      <c r="E17" s="23"/>
      <c r="F17" s="23"/>
      <c r="G17" s="23">
        <f t="shared" si="0"/>
        <v>5885</v>
      </c>
    </row>
    <row r="18" spans="1:7" ht="16.5" thickBot="1">
      <c r="A18" s="18">
        <f t="shared" si="1"/>
        <v>13</v>
      </c>
      <c r="B18" s="28" t="s">
        <v>27</v>
      </c>
      <c r="C18" s="23">
        <v>5859</v>
      </c>
      <c r="D18" s="23"/>
      <c r="E18" s="23"/>
      <c r="F18" s="23"/>
      <c r="G18" s="23">
        <f t="shared" si="0"/>
        <v>5859</v>
      </c>
    </row>
    <row r="19" spans="1:7" ht="16.5" thickBot="1">
      <c r="A19" s="18">
        <f t="shared" si="1"/>
        <v>14</v>
      </c>
      <c r="B19" s="28" t="s">
        <v>817</v>
      </c>
      <c r="C19" s="23">
        <v>5852</v>
      </c>
      <c r="D19" s="23"/>
      <c r="E19" s="23"/>
      <c r="F19" s="23"/>
      <c r="G19" s="23">
        <f t="shared" si="0"/>
        <v>5852</v>
      </c>
    </row>
    <row r="20" spans="1:7" ht="16.5" thickBot="1">
      <c r="A20" s="18">
        <f t="shared" si="1"/>
        <v>15</v>
      </c>
      <c r="B20" s="32" t="s">
        <v>304</v>
      </c>
      <c r="C20" s="23">
        <v>5844</v>
      </c>
      <c r="D20" s="23"/>
      <c r="E20" s="23"/>
      <c r="F20" s="23"/>
      <c r="G20" s="23">
        <f t="shared" si="0"/>
        <v>5844</v>
      </c>
    </row>
    <row r="21" spans="1:7" ht="16.5" thickBot="1">
      <c r="A21" s="18">
        <f t="shared" si="1"/>
        <v>16</v>
      </c>
      <c r="B21" s="28" t="s">
        <v>220</v>
      </c>
      <c r="C21" s="23">
        <v>5839</v>
      </c>
      <c r="D21" s="23"/>
      <c r="E21" s="23"/>
      <c r="F21" s="23"/>
      <c r="G21" s="23">
        <f t="shared" si="0"/>
        <v>5839</v>
      </c>
    </row>
    <row r="22" spans="1:7" ht="16.5" thickBot="1">
      <c r="A22" s="18">
        <f t="shared" si="1"/>
        <v>17</v>
      </c>
      <c r="B22" s="32" t="s">
        <v>575</v>
      </c>
      <c r="C22" s="23">
        <v>5835</v>
      </c>
      <c r="D22" s="23"/>
      <c r="E22" s="23"/>
      <c r="F22" s="23"/>
      <c r="G22" s="23">
        <f t="shared" si="0"/>
        <v>5835</v>
      </c>
    </row>
    <row r="23" spans="1:7" ht="16.5" thickBot="1">
      <c r="A23" s="18">
        <f t="shared" si="1"/>
        <v>18</v>
      </c>
      <c r="B23" s="32" t="s">
        <v>626</v>
      </c>
      <c r="C23" s="23">
        <v>5825</v>
      </c>
      <c r="D23" s="23"/>
      <c r="E23" s="23"/>
      <c r="F23" s="23"/>
      <c r="G23" s="23">
        <f t="shared" si="0"/>
        <v>5825</v>
      </c>
    </row>
    <row r="24" spans="1:7" ht="16.5" thickBot="1">
      <c r="A24" s="18">
        <f t="shared" si="1"/>
        <v>19</v>
      </c>
      <c r="B24" s="32" t="s">
        <v>594</v>
      </c>
      <c r="C24" s="23">
        <v>5806</v>
      </c>
      <c r="D24" s="23"/>
      <c r="E24" s="23"/>
      <c r="F24" s="23"/>
      <c r="G24" s="23">
        <f t="shared" si="0"/>
        <v>5806</v>
      </c>
    </row>
    <row r="25" spans="1:7" ht="16.5" thickBot="1">
      <c r="A25" s="18">
        <f t="shared" si="1"/>
        <v>20</v>
      </c>
      <c r="B25" s="32" t="s">
        <v>501</v>
      </c>
      <c r="C25" s="23">
        <v>5789</v>
      </c>
      <c r="D25" s="23"/>
      <c r="E25" s="23"/>
      <c r="F25" s="23"/>
      <c r="G25" s="23">
        <f t="shared" si="0"/>
        <v>5789</v>
      </c>
    </row>
    <row r="26" spans="1:7" ht="16.5" thickBot="1">
      <c r="A26" s="18">
        <f t="shared" si="1"/>
        <v>21</v>
      </c>
      <c r="B26" s="32" t="s">
        <v>654</v>
      </c>
      <c r="C26" s="23">
        <v>5758</v>
      </c>
      <c r="D26" s="23"/>
      <c r="E26" s="23"/>
      <c r="F26" s="23"/>
      <c r="G26" s="23">
        <f t="shared" si="0"/>
        <v>5758</v>
      </c>
    </row>
    <row r="27" spans="1:7" ht="16.5" thickBot="1">
      <c r="A27" s="18">
        <f t="shared" si="1"/>
        <v>22</v>
      </c>
      <c r="B27" s="36" t="s">
        <v>856</v>
      </c>
      <c r="C27" s="23">
        <v>5753</v>
      </c>
      <c r="D27" s="23"/>
      <c r="E27" s="23"/>
      <c r="F27" s="23"/>
      <c r="G27" s="23">
        <f t="shared" si="0"/>
        <v>5753</v>
      </c>
    </row>
    <row r="28" spans="1:7" ht="16.5" thickBot="1">
      <c r="A28" s="18">
        <f t="shared" si="1"/>
        <v>23</v>
      </c>
      <c r="B28" s="36" t="s">
        <v>205</v>
      </c>
      <c r="C28" s="23">
        <v>5724</v>
      </c>
      <c r="D28" s="23"/>
      <c r="E28" s="23"/>
      <c r="F28" s="23"/>
      <c r="G28" s="23">
        <f t="shared" si="0"/>
        <v>5724</v>
      </c>
    </row>
    <row r="29" spans="1:7" ht="16.5" thickBot="1">
      <c r="A29" s="18">
        <f t="shared" si="1"/>
        <v>24</v>
      </c>
      <c r="B29" s="36" t="s">
        <v>154</v>
      </c>
      <c r="C29" s="23">
        <v>5723</v>
      </c>
      <c r="D29" s="23"/>
      <c r="E29" s="23"/>
      <c r="F29" s="23"/>
      <c r="G29" s="23">
        <f t="shared" si="0"/>
        <v>5723</v>
      </c>
    </row>
    <row r="30" spans="1:7" ht="16.5" thickBot="1">
      <c r="A30" s="18">
        <f t="shared" si="1"/>
        <v>25</v>
      </c>
      <c r="B30" s="36" t="s">
        <v>74</v>
      </c>
      <c r="C30" s="23">
        <v>5709</v>
      </c>
      <c r="D30" s="23"/>
      <c r="E30" s="23"/>
      <c r="F30" s="23"/>
      <c r="G30" s="23">
        <f t="shared" si="0"/>
        <v>5709</v>
      </c>
    </row>
    <row r="31" spans="1:7" ht="16.5" thickBot="1">
      <c r="A31" s="18">
        <f t="shared" si="1"/>
        <v>26</v>
      </c>
      <c r="B31" s="36" t="s">
        <v>331</v>
      </c>
      <c r="C31" s="23">
        <v>5701</v>
      </c>
      <c r="D31" s="23"/>
      <c r="E31" s="23"/>
      <c r="F31" s="23"/>
      <c r="G31" s="23">
        <f t="shared" si="0"/>
        <v>5701</v>
      </c>
    </row>
    <row r="32" spans="1:7" ht="16.5" thickBot="1">
      <c r="A32" s="18">
        <f t="shared" si="1"/>
        <v>27</v>
      </c>
      <c r="B32" s="36" t="s">
        <v>636</v>
      </c>
      <c r="C32" s="23">
        <v>5701</v>
      </c>
      <c r="D32" s="23"/>
      <c r="E32" s="23"/>
      <c r="F32" s="23"/>
      <c r="G32" s="23">
        <f t="shared" si="0"/>
        <v>5701</v>
      </c>
    </row>
    <row r="33" spans="1:7" ht="16.5" thickBot="1">
      <c r="A33" s="18">
        <f t="shared" si="1"/>
        <v>28</v>
      </c>
      <c r="B33" s="36" t="s">
        <v>729</v>
      </c>
      <c r="C33" s="23">
        <v>5699</v>
      </c>
      <c r="D33" s="23"/>
      <c r="E33" s="23"/>
      <c r="F33" s="23"/>
      <c r="G33" s="23">
        <f t="shared" si="0"/>
        <v>5699</v>
      </c>
    </row>
    <row r="34" spans="1:7" ht="16.5" thickBot="1">
      <c r="A34" s="18">
        <f t="shared" si="1"/>
        <v>29</v>
      </c>
      <c r="B34" s="36" t="s">
        <v>425</v>
      </c>
      <c r="C34" s="23">
        <v>5691</v>
      </c>
      <c r="D34" s="23"/>
      <c r="E34" s="23"/>
      <c r="F34" s="23"/>
      <c r="G34" s="23">
        <f t="shared" si="0"/>
        <v>5691</v>
      </c>
    </row>
    <row r="35" spans="1:7" ht="16.5" thickBot="1">
      <c r="A35" s="18">
        <f t="shared" si="1"/>
        <v>30</v>
      </c>
      <c r="B35" s="36" t="s">
        <v>799</v>
      </c>
      <c r="C35" s="23">
        <v>5653</v>
      </c>
      <c r="D35" s="23"/>
      <c r="E35" s="23"/>
      <c r="F35" s="23"/>
      <c r="G35" s="23">
        <f t="shared" si="0"/>
        <v>5653</v>
      </c>
    </row>
    <row r="36" spans="1:7" ht="16.5" thickBot="1">
      <c r="A36" s="18">
        <f t="shared" si="1"/>
        <v>31</v>
      </c>
      <c r="B36" s="36" t="s">
        <v>180</v>
      </c>
      <c r="C36" s="23">
        <v>5647</v>
      </c>
      <c r="D36" s="23"/>
      <c r="E36" s="23"/>
      <c r="F36" s="23"/>
      <c r="G36" s="23">
        <f t="shared" si="0"/>
        <v>5647</v>
      </c>
    </row>
    <row r="37" spans="1:7" ht="16.5" thickBot="1">
      <c r="A37" s="18">
        <f t="shared" si="1"/>
        <v>32</v>
      </c>
      <c r="B37" s="36" t="s">
        <v>547</v>
      </c>
      <c r="C37" s="23">
        <v>5636</v>
      </c>
      <c r="D37" s="23"/>
      <c r="E37" s="23"/>
      <c r="F37" s="23"/>
      <c r="G37" s="23">
        <f t="shared" si="0"/>
        <v>5636</v>
      </c>
    </row>
    <row r="38" spans="1:7" ht="16.5" thickBot="1">
      <c r="A38" s="18">
        <f t="shared" si="1"/>
        <v>33</v>
      </c>
      <c r="B38" s="36" t="s">
        <v>584</v>
      </c>
      <c r="C38" s="23">
        <v>5608</v>
      </c>
      <c r="D38" s="23"/>
      <c r="E38" s="23"/>
      <c r="F38" s="23"/>
      <c r="G38" s="23">
        <f t="shared" si="0"/>
        <v>5608</v>
      </c>
    </row>
    <row r="39" spans="1:7" ht="16.5" thickBot="1">
      <c r="A39" s="18">
        <f t="shared" si="1"/>
        <v>34</v>
      </c>
      <c r="B39" s="36" t="s">
        <v>807</v>
      </c>
      <c r="C39" s="23">
        <v>5608</v>
      </c>
      <c r="D39" s="23"/>
      <c r="E39" s="23"/>
      <c r="F39" s="23"/>
      <c r="G39" s="23">
        <f t="shared" si="0"/>
        <v>5608</v>
      </c>
    </row>
    <row r="40" spans="1:7" ht="16.5" thickBot="1">
      <c r="A40" s="18">
        <f t="shared" si="1"/>
        <v>35</v>
      </c>
      <c r="B40" s="36" t="s">
        <v>713</v>
      </c>
      <c r="C40" s="23">
        <v>5589</v>
      </c>
      <c r="D40" s="23"/>
      <c r="E40" s="23"/>
      <c r="F40" s="23"/>
      <c r="G40" s="23">
        <f t="shared" si="0"/>
        <v>5589</v>
      </c>
    </row>
    <row r="41" spans="1:7" ht="16.5" thickBot="1">
      <c r="A41" s="18">
        <f t="shared" si="1"/>
        <v>36</v>
      </c>
      <c r="B41" s="36" t="s">
        <v>607</v>
      </c>
      <c r="C41" s="23">
        <v>5573</v>
      </c>
      <c r="D41" s="23"/>
      <c r="E41" s="23"/>
      <c r="F41" s="23"/>
      <c r="G41" s="23">
        <f t="shared" si="0"/>
        <v>5573</v>
      </c>
    </row>
    <row r="42" spans="1:7" ht="16.5" thickBot="1">
      <c r="A42" s="18">
        <f t="shared" si="1"/>
        <v>37</v>
      </c>
      <c r="B42" s="36" t="s">
        <v>695</v>
      </c>
      <c r="C42" s="23">
        <v>5558</v>
      </c>
      <c r="D42" s="23"/>
      <c r="E42" s="23"/>
      <c r="F42" s="23"/>
      <c r="G42" s="23">
        <f t="shared" si="0"/>
        <v>5558</v>
      </c>
    </row>
    <row r="43" spans="1:7" ht="16.5" thickBot="1">
      <c r="A43" s="18">
        <f t="shared" si="1"/>
        <v>38</v>
      </c>
      <c r="B43" s="36" t="s">
        <v>875</v>
      </c>
      <c r="C43" s="23">
        <v>5557</v>
      </c>
      <c r="D43" s="23"/>
      <c r="E43" s="23"/>
      <c r="F43" s="23"/>
      <c r="G43" s="23">
        <f t="shared" si="0"/>
        <v>5557</v>
      </c>
    </row>
    <row r="44" spans="1:7" ht="16.5" thickBot="1">
      <c r="A44" s="18">
        <f t="shared" si="1"/>
        <v>39</v>
      </c>
      <c r="B44" s="36" t="s">
        <v>772</v>
      </c>
      <c r="C44" s="23">
        <v>5533</v>
      </c>
      <c r="D44" s="23"/>
      <c r="E44" s="23"/>
      <c r="F44" s="23"/>
      <c r="G44" s="23">
        <f t="shared" si="0"/>
        <v>5533</v>
      </c>
    </row>
    <row r="45" spans="1:7" ht="16.5" thickBot="1">
      <c r="A45" s="18">
        <f t="shared" si="1"/>
        <v>40</v>
      </c>
      <c r="B45" s="36" t="s">
        <v>643</v>
      </c>
      <c r="C45" s="23">
        <v>5527</v>
      </c>
      <c r="D45" s="23"/>
      <c r="E45" s="23"/>
      <c r="F45" s="23"/>
      <c r="G45" s="23">
        <f t="shared" si="0"/>
        <v>5527</v>
      </c>
    </row>
    <row r="46" spans="1:7" ht="16.5" thickBot="1">
      <c r="A46" s="18">
        <f t="shared" si="1"/>
        <v>41</v>
      </c>
      <c r="B46" s="36" t="s">
        <v>848</v>
      </c>
      <c r="C46" s="23">
        <v>5512</v>
      </c>
      <c r="D46" s="23"/>
      <c r="E46" s="23"/>
      <c r="F46" s="23"/>
      <c r="G46" s="23">
        <f t="shared" si="0"/>
        <v>5512</v>
      </c>
    </row>
    <row r="47" spans="1:7" ht="16.5" thickBot="1">
      <c r="A47" s="18">
        <f t="shared" si="1"/>
        <v>42</v>
      </c>
      <c r="B47" s="36" t="s">
        <v>790</v>
      </c>
      <c r="C47" s="23">
        <v>5501</v>
      </c>
      <c r="D47" s="23"/>
      <c r="E47" s="23"/>
      <c r="F47" s="23"/>
      <c r="G47" s="23">
        <f t="shared" si="0"/>
        <v>5501</v>
      </c>
    </row>
    <row r="48" spans="1:7" ht="16.5" thickBot="1">
      <c r="A48" s="18">
        <f t="shared" si="1"/>
        <v>43</v>
      </c>
      <c r="B48" s="36" t="s">
        <v>167</v>
      </c>
      <c r="C48" s="23">
        <v>5478</v>
      </c>
      <c r="D48" s="23"/>
      <c r="E48" s="23"/>
      <c r="F48" s="23"/>
      <c r="G48" s="23">
        <f t="shared" si="0"/>
        <v>5478</v>
      </c>
    </row>
    <row r="49" spans="1:7" ht="16.5" thickBot="1">
      <c r="A49" s="18">
        <f t="shared" si="1"/>
        <v>44</v>
      </c>
      <c r="B49" s="36" t="s">
        <v>557</v>
      </c>
      <c r="C49" s="23">
        <v>5476</v>
      </c>
      <c r="D49" s="23"/>
      <c r="E49" s="23"/>
      <c r="F49" s="23"/>
      <c r="G49" s="23">
        <f t="shared" si="0"/>
        <v>5476</v>
      </c>
    </row>
    <row r="50" spans="1:7" ht="16.5" thickBot="1">
      <c r="A50" s="18">
        <f t="shared" si="1"/>
        <v>45</v>
      </c>
      <c r="B50" s="36" t="s">
        <v>751</v>
      </c>
      <c r="C50" s="23">
        <v>5471</v>
      </c>
      <c r="D50" s="23"/>
      <c r="E50" s="23"/>
      <c r="F50" s="23"/>
      <c r="G50" s="23">
        <f t="shared" si="0"/>
        <v>5471</v>
      </c>
    </row>
    <row r="51" spans="1:7" ht="16.5" thickBot="1">
      <c r="A51" s="18">
        <f t="shared" si="1"/>
        <v>46</v>
      </c>
      <c r="B51" s="36" t="s">
        <v>295</v>
      </c>
      <c r="C51" s="23">
        <v>5469</v>
      </c>
      <c r="D51" s="23"/>
      <c r="E51" s="23"/>
      <c r="F51" s="23"/>
      <c r="G51" s="23">
        <f t="shared" si="0"/>
        <v>5469</v>
      </c>
    </row>
    <row r="52" spans="1:7" ht="16.5" thickBot="1">
      <c r="A52" s="18">
        <f t="shared" si="1"/>
        <v>47</v>
      </c>
      <c r="B52" s="36" t="s">
        <v>514</v>
      </c>
      <c r="C52" s="23">
        <v>5467</v>
      </c>
      <c r="D52" s="23"/>
      <c r="E52" s="23"/>
      <c r="F52" s="23"/>
      <c r="G52" s="23">
        <f t="shared" si="0"/>
        <v>5467</v>
      </c>
    </row>
    <row r="53" spans="1:7" ht="16.5" thickBot="1">
      <c r="A53" s="18">
        <f t="shared" si="1"/>
        <v>48</v>
      </c>
      <c r="B53" s="36" t="s">
        <v>13</v>
      </c>
      <c r="C53" s="23">
        <v>5466</v>
      </c>
      <c r="D53" s="23"/>
      <c r="E53" s="23"/>
      <c r="F53" s="23"/>
      <c r="G53" s="23">
        <f t="shared" si="0"/>
        <v>5466</v>
      </c>
    </row>
    <row r="54" spans="1:7" ht="16.5" thickBot="1">
      <c r="A54" s="18">
        <f t="shared" si="1"/>
        <v>49</v>
      </c>
      <c r="B54" s="32" t="s">
        <v>479</v>
      </c>
      <c r="C54" s="23">
        <v>5465</v>
      </c>
      <c r="D54" s="23"/>
      <c r="E54" s="23"/>
      <c r="F54" s="23"/>
      <c r="G54" s="23">
        <f t="shared" si="0"/>
        <v>5465</v>
      </c>
    </row>
    <row r="55" spans="1:7" ht="16.5" thickBot="1">
      <c r="A55" s="18">
        <f t="shared" si="1"/>
        <v>50</v>
      </c>
      <c r="B55" s="32" t="s">
        <v>373</v>
      </c>
      <c r="C55" s="23">
        <v>5464</v>
      </c>
      <c r="D55" s="23"/>
      <c r="E55" s="23"/>
      <c r="F55" s="23"/>
      <c r="G55" s="23">
        <f t="shared" si="0"/>
        <v>5464</v>
      </c>
    </row>
    <row r="56" spans="1:7" ht="16.5" thickBot="1">
      <c r="A56" s="18">
        <f t="shared" si="1"/>
        <v>51</v>
      </c>
      <c r="B56" s="32" t="s">
        <v>686</v>
      </c>
      <c r="C56" s="23">
        <v>5459</v>
      </c>
      <c r="D56" s="23"/>
      <c r="E56" s="23"/>
      <c r="F56" s="23"/>
      <c r="G56" s="23">
        <f t="shared" si="0"/>
        <v>5459</v>
      </c>
    </row>
    <row r="57" spans="1:7" ht="16.5" thickBot="1">
      <c r="A57" s="18">
        <f t="shared" si="1"/>
        <v>52</v>
      </c>
      <c r="B57" s="36" t="s">
        <v>438</v>
      </c>
      <c r="C57" s="23">
        <v>5450</v>
      </c>
      <c r="D57" s="23"/>
      <c r="E57" s="23"/>
      <c r="F57" s="23"/>
      <c r="G57" s="23">
        <f t="shared" si="0"/>
        <v>5450</v>
      </c>
    </row>
    <row r="58" spans="1:7" ht="16.5" thickBot="1">
      <c r="A58" s="18">
        <f t="shared" si="1"/>
        <v>53</v>
      </c>
      <c r="B58" s="36" t="s">
        <v>565</v>
      </c>
      <c r="C58" s="23">
        <v>5438</v>
      </c>
      <c r="D58" s="23"/>
      <c r="E58" s="23"/>
      <c r="F58" s="23"/>
      <c r="G58" s="23">
        <f t="shared" si="0"/>
        <v>5438</v>
      </c>
    </row>
    <row r="59" spans="1:7" ht="16.5" thickBot="1">
      <c r="A59" s="18">
        <f t="shared" si="1"/>
        <v>54</v>
      </c>
      <c r="B59" s="36" t="s">
        <v>720</v>
      </c>
      <c r="C59" s="23">
        <v>5435</v>
      </c>
      <c r="D59" s="23"/>
      <c r="E59" s="23"/>
      <c r="F59" s="23"/>
      <c r="G59" s="23">
        <f t="shared" si="0"/>
        <v>5435</v>
      </c>
    </row>
    <row r="60" spans="1:7" ht="16.5" thickBot="1">
      <c r="A60" s="18">
        <f t="shared" si="1"/>
        <v>55</v>
      </c>
      <c r="B60" s="36" t="s">
        <v>143</v>
      </c>
      <c r="C60" s="23">
        <v>5422</v>
      </c>
      <c r="D60" s="23"/>
      <c r="E60" s="23"/>
      <c r="F60" s="23"/>
      <c r="G60" s="23">
        <f t="shared" si="0"/>
        <v>5422</v>
      </c>
    </row>
    <row r="61" spans="1:7" ht="16.5" thickBot="1">
      <c r="A61" s="18">
        <f t="shared" si="1"/>
        <v>56</v>
      </c>
      <c r="B61" s="36" t="s">
        <v>490</v>
      </c>
      <c r="C61" s="23">
        <v>5416</v>
      </c>
      <c r="D61" s="23"/>
      <c r="E61" s="23"/>
      <c r="F61" s="23"/>
      <c r="G61" s="23">
        <f t="shared" si="0"/>
        <v>5416</v>
      </c>
    </row>
    <row r="62" spans="1:7" ht="16.5" thickBot="1">
      <c r="A62" s="18">
        <f t="shared" si="1"/>
        <v>57</v>
      </c>
      <c r="B62" s="36" t="s">
        <v>61</v>
      </c>
      <c r="C62" s="23">
        <v>5412</v>
      </c>
      <c r="D62" s="23"/>
      <c r="E62" s="23"/>
      <c r="F62" s="23"/>
      <c r="G62" s="23">
        <f t="shared" si="0"/>
        <v>5412</v>
      </c>
    </row>
    <row r="63" spans="1:7" ht="16.5" thickBot="1">
      <c r="A63" s="18">
        <f t="shared" si="1"/>
        <v>58</v>
      </c>
      <c r="B63" s="36" t="s">
        <v>789</v>
      </c>
      <c r="C63" s="23">
        <v>5404</v>
      </c>
      <c r="D63" s="23"/>
      <c r="E63" s="23"/>
      <c r="F63" s="23"/>
      <c r="G63" s="23">
        <f t="shared" si="0"/>
        <v>5404</v>
      </c>
    </row>
    <row r="64" spans="1:7" ht="16.5" thickBot="1">
      <c r="A64" s="18">
        <f t="shared" si="1"/>
        <v>59</v>
      </c>
      <c r="B64" s="36" t="s">
        <v>127</v>
      </c>
      <c r="C64" s="23">
        <v>5384</v>
      </c>
      <c r="D64" s="23"/>
      <c r="E64" s="23"/>
      <c r="F64" s="23"/>
      <c r="G64" s="23">
        <f t="shared" si="0"/>
        <v>5384</v>
      </c>
    </row>
    <row r="65" spans="1:7" ht="16.5" thickBot="1">
      <c r="A65" s="18">
        <f t="shared" si="1"/>
        <v>60</v>
      </c>
      <c r="B65" s="36" t="s">
        <v>281</v>
      </c>
      <c r="C65" s="23">
        <v>5367</v>
      </c>
      <c r="D65" s="23"/>
      <c r="E65" s="23"/>
      <c r="F65" s="23"/>
      <c r="G65" s="23">
        <f t="shared" si="0"/>
        <v>5367</v>
      </c>
    </row>
    <row r="66" spans="1:7" ht="16.5" thickBot="1">
      <c r="A66" s="18">
        <f t="shared" si="1"/>
        <v>61</v>
      </c>
      <c r="B66" s="36" t="s">
        <v>44</v>
      </c>
      <c r="C66" s="23">
        <v>5341</v>
      </c>
      <c r="D66" s="23"/>
      <c r="E66" s="23"/>
      <c r="F66" s="23"/>
      <c r="G66" s="23">
        <f t="shared" si="0"/>
        <v>5341</v>
      </c>
    </row>
    <row r="67" spans="1:7" ht="16.5" thickBot="1">
      <c r="A67" s="18">
        <f t="shared" si="1"/>
        <v>62</v>
      </c>
      <c r="B67" s="36" t="s">
        <v>262</v>
      </c>
      <c r="C67" s="23">
        <v>5339</v>
      </c>
      <c r="D67" s="23"/>
      <c r="E67" s="23"/>
      <c r="F67" s="23"/>
      <c r="G67" s="23">
        <f t="shared" si="0"/>
        <v>5339</v>
      </c>
    </row>
    <row r="68" spans="1:7" ht="16.5" thickBot="1">
      <c r="A68" s="18">
        <f t="shared" si="1"/>
        <v>63</v>
      </c>
      <c r="B68" s="36" t="s">
        <v>353</v>
      </c>
      <c r="C68" s="23">
        <v>5299</v>
      </c>
      <c r="D68" s="23"/>
      <c r="E68" s="23"/>
      <c r="F68" s="23"/>
      <c r="G68" s="23">
        <f t="shared" si="0"/>
        <v>5299</v>
      </c>
    </row>
    <row r="69" spans="1:7" ht="16.5" thickBot="1">
      <c r="A69" s="18">
        <f t="shared" si="1"/>
        <v>64</v>
      </c>
      <c r="B69" s="36" t="s">
        <v>536</v>
      </c>
      <c r="C69" s="23">
        <v>5275</v>
      </c>
      <c r="D69" s="23"/>
      <c r="E69" s="23"/>
      <c r="F69" s="23"/>
      <c r="G69" s="23">
        <f t="shared" si="0"/>
        <v>5275</v>
      </c>
    </row>
    <row r="70" spans="1:7" ht="16.5" thickBot="1">
      <c r="A70" s="18">
        <f t="shared" si="1"/>
        <v>65</v>
      </c>
      <c r="B70" s="36" t="s">
        <v>318</v>
      </c>
      <c r="C70" s="23">
        <v>5173</v>
      </c>
      <c r="D70" s="23"/>
      <c r="E70" s="23"/>
      <c r="F70" s="23"/>
      <c r="G70" s="23">
        <f t="shared" si="0"/>
        <v>5173</v>
      </c>
    </row>
    <row r="71" spans="1:7" ht="16.5" thickBot="1">
      <c r="A71" s="18">
        <f t="shared" si="1"/>
        <v>66</v>
      </c>
      <c r="B71" s="36" t="s">
        <v>781</v>
      </c>
      <c r="C71" s="23">
        <v>5128</v>
      </c>
      <c r="D71" s="23"/>
      <c r="E71" s="23"/>
      <c r="F71" s="23"/>
      <c r="G71" s="23">
        <f t="shared" ref="G71:G83" si="2">SUM(C71:F71)</f>
        <v>5128</v>
      </c>
    </row>
    <row r="72" spans="1:7" ht="16.5" thickBot="1">
      <c r="A72" s="18">
        <f t="shared" ref="A72:A83" si="3">A71+1</f>
        <v>67</v>
      </c>
      <c r="B72" s="36" t="s">
        <v>98</v>
      </c>
      <c r="C72" s="23">
        <v>5125</v>
      </c>
      <c r="D72" s="23"/>
      <c r="E72" s="23"/>
      <c r="F72" s="23"/>
      <c r="G72" s="23">
        <f t="shared" si="2"/>
        <v>5125</v>
      </c>
    </row>
    <row r="73" spans="1:7" ht="16.5" thickBot="1">
      <c r="A73" s="18">
        <f t="shared" si="3"/>
        <v>68</v>
      </c>
      <c r="B73" s="36" t="s">
        <v>363</v>
      </c>
      <c r="C73" s="23">
        <v>5115</v>
      </c>
      <c r="D73" s="23"/>
      <c r="E73" s="23"/>
      <c r="F73" s="23"/>
      <c r="G73" s="23">
        <f t="shared" si="2"/>
        <v>5115</v>
      </c>
    </row>
    <row r="74" spans="1:7" ht="16.5" thickBot="1">
      <c r="A74" s="18">
        <f t="shared" si="3"/>
        <v>69</v>
      </c>
      <c r="B74" s="36" t="s">
        <v>113</v>
      </c>
      <c r="C74" s="23">
        <v>5105</v>
      </c>
      <c r="D74" s="23"/>
      <c r="E74" s="23"/>
      <c r="F74" s="23"/>
      <c r="G74" s="23">
        <f t="shared" si="2"/>
        <v>5105</v>
      </c>
    </row>
    <row r="75" spans="1:7" ht="16.5" thickBot="1">
      <c r="A75" s="18">
        <f t="shared" si="3"/>
        <v>70</v>
      </c>
      <c r="B75" s="36" t="s">
        <v>703</v>
      </c>
      <c r="C75" s="23">
        <v>5044</v>
      </c>
      <c r="D75" s="23"/>
      <c r="E75" s="23"/>
      <c r="F75" s="23"/>
      <c r="G75" s="23">
        <f t="shared" si="2"/>
        <v>5044</v>
      </c>
    </row>
    <row r="76" spans="1:7" ht="16.5" thickBot="1">
      <c r="A76" s="18">
        <f t="shared" si="3"/>
        <v>71</v>
      </c>
      <c r="B76" s="36" t="s">
        <v>741</v>
      </c>
      <c r="C76" s="23">
        <v>4903</v>
      </c>
      <c r="D76" s="23"/>
      <c r="E76" s="23"/>
      <c r="F76" s="23"/>
      <c r="G76" s="23">
        <f t="shared" si="2"/>
        <v>4903</v>
      </c>
    </row>
    <row r="77" spans="1:7" ht="16.5" thickBot="1">
      <c r="A77" s="18">
        <f t="shared" si="3"/>
        <v>72</v>
      </c>
      <c r="B77" s="36" t="s">
        <v>387</v>
      </c>
      <c r="C77" s="23">
        <v>4898</v>
      </c>
      <c r="D77" s="23"/>
      <c r="E77" s="23"/>
      <c r="F77" s="23"/>
      <c r="G77" s="23">
        <f t="shared" si="2"/>
        <v>4898</v>
      </c>
    </row>
    <row r="78" spans="1:7" ht="16.5" thickBot="1">
      <c r="A78" s="18">
        <f t="shared" si="3"/>
        <v>73</v>
      </c>
      <c r="B78" s="36" t="s">
        <v>190</v>
      </c>
      <c r="C78" s="23">
        <v>4834</v>
      </c>
      <c r="D78" s="23"/>
      <c r="E78" s="23"/>
      <c r="F78" s="23"/>
      <c r="G78" s="23">
        <f t="shared" si="2"/>
        <v>4834</v>
      </c>
    </row>
    <row r="79" spans="1:7" ht="16.5" thickBot="1">
      <c r="A79" s="18">
        <f t="shared" si="3"/>
        <v>74</v>
      </c>
      <c r="B79" s="36" t="s">
        <v>665</v>
      </c>
      <c r="C79" s="23">
        <v>4830</v>
      </c>
      <c r="D79" s="23"/>
      <c r="E79" s="23"/>
      <c r="F79" s="23"/>
      <c r="G79" s="23">
        <f t="shared" si="2"/>
        <v>4830</v>
      </c>
    </row>
    <row r="80" spans="1:7" ht="16.5" thickBot="1">
      <c r="A80" s="18">
        <f t="shared" si="3"/>
        <v>75</v>
      </c>
      <c r="B80" s="36" t="s">
        <v>271</v>
      </c>
      <c r="C80" s="23">
        <v>4774</v>
      </c>
      <c r="D80" s="23"/>
      <c r="E80" s="23"/>
      <c r="F80" s="23"/>
      <c r="G80" s="23">
        <f t="shared" si="2"/>
        <v>4774</v>
      </c>
    </row>
    <row r="81" spans="1:7" ht="16.5" thickBot="1">
      <c r="A81" s="18">
        <f t="shared" si="3"/>
        <v>76</v>
      </c>
      <c r="B81" s="36" t="s">
        <v>526</v>
      </c>
      <c r="C81" s="23">
        <v>4605</v>
      </c>
      <c r="D81" s="23"/>
      <c r="E81" s="23"/>
      <c r="F81" s="23"/>
      <c r="G81" s="23">
        <f t="shared" si="2"/>
        <v>4605</v>
      </c>
    </row>
    <row r="82" spans="1:7" ht="16.5" thickBot="1">
      <c r="A82" s="18">
        <f t="shared" si="3"/>
        <v>77</v>
      </c>
      <c r="B82" s="36" t="s">
        <v>865</v>
      </c>
      <c r="C82" s="23">
        <v>4362</v>
      </c>
      <c r="D82" s="23"/>
      <c r="E82" s="23"/>
      <c r="F82" s="23"/>
      <c r="G82" s="23">
        <f t="shared" si="2"/>
        <v>4362</v>
      </c>
    </row>
    <row r="83" spans="1:7" ht="15.75">
      <c r="A83" s="18">
        <f t="shared" si="3"/>
        <v>78</v>
      </c>
      <c r="B83" s="32" t="s">
        <v>402</v>
      </c>
      <c r="C83" s="23">
        <v>3964</v>
      </c>
      <c r="D83" s="23"/>
      <c r="E83" s="23"/>
      <c r="F83" s="23"/>
      <c r="G83" s="23">
        <f t="shared" si="2"/>
        <v>3964</v>
      </c>
    </row>
  </sheetData>
  <mergeCells count="2">
    <mergeCell ref="A1:J1"/>
    <mergeCell ref="A2:J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4"/>
  <sheetViews>
    <sheetView workbookViewId="0">
      <selection activeCell="B38" sqref="B38"/>
    </sheetView>
  </sheetViews>
  <sheetFormatPr defaultRowHeight="15"/>
  <cols>
    <col min="1" max="1" width="5.85546875" customWidth="1"/>
    <col min="2" max="2" width="15.42578125" bestFit="1" customWidth="1"/>
    <col min="3" max="3" width="18.140625" bestFit="1" customWidth="1"/>
    <col min="4" max="4" width="32.5703125" bestFit="1" customWidth="1"/>
    <col min="5" max="6" width="6.7109375" bestFit="1" customWidth="1"/>
    <col min="7" max="7" width="7.28515625" bestFit="1" customWidth="1"/>
    <col min="8" max="10" width="6.7109375" bestFit="1" customWidth="1"/>
    <col min="11" max="11" width="8.42578125" bestFit="1" customWidth="1"/>
    <col min="12" max="12" width="6" customWidth="1"/>
    <col min="13" max="13" width="5.85546875" customWidth="1"/>
    <col min="15" max="15" width="15.5703125" bestFit="1" customWidth="1"/>
    <col min="257" max="257" width="5.85546875" customWidth="1"/>
    <col min="258" max="258" width="32.5703125" bestFit="1" customWidth="1"/>
    <col min="259" max="259" width="15.140625" bestFit="1" customWidth="1"/>
    <col min="260" max="260" width="27.28515625" bestFit="1" customWidth="1"/>
    <col min="261" max="262" width="6.7109375" bestFit="1" customWidth="1"/>
    <col min="263" max="263" width="7.28515625" bestFit="1" customWidth="1"/>
    <col min="264" max="266" width="6.7109375" bestFit="1" customWidth="1"/>
    <col min="267" max="267" width="8.42578125" bestFit="1" customWidth="1"/>
    <col min="268" max="268" width="6" customWidth="1"/>
    <col min="269" max="269" width="5.85546875" customWidth="1"/>
    <col min="271" max="271" width="15.5703125" bestFit="1" customWidth="1"/>
    <col min="513" max="513" width="5.85546875" customWidth="1"/>
    <col min="514" max="514" width="32.5703125" bestFit="1" customWidth="1"/>
    <col min="515" max="515" width="15.140625" bestFit="1" customWidth="1"/>
    <col min="516" max="516" width="27.28515625" bestFit="1" customWidth="1"/>
    <col min="517" max="518" width="6.7109375" bestFit="1" customWidth="1"/>
    <col min="519" max="519" width="7.28515625" bestFit="1" customWidth="1"/>
    <col min="520" max="522" width="6.7109375" bestFit="1" customWidth="1"/>
    <col min="523" max="523" width="8.42578125" bestFit="1" customWidth="1"/>
    <col min="524" max="524" width="6" customWidth="1"/>
    <col min="525" max="525" width="5.85546875" customWidth="1"/>
    <col min="527" max="527" width="15.5703125" bestFit="1" customWidth="1"/>
    <col min="769" max="769" width="5.85546875" customWidth="1"/>
    <col min="770" max="770" width="32.5703125" bestFit="1" customWidth="1"/>
    <col min="771" max="771" width="15.140625" bestFit="1" customWidth="1"/>
    <col min="772" max="772" width="27.28515625" bestFit="1" customWidth="1"/>
    <col min="773" max="774" width="6.7109375" bestFit="1" customWidth="1"/>
    <col min="775" max="775" width="7.28515625" bestFit="1" customWidth="1"/>
    <col min="776" max="778" width="6.7109375" bestFit="1" customWidth="1"/>
    <col min="779" max="779" width="8.42578125" bestFit="1" customWidth="1"/>
    <col min="780" max="780" width="6" customWidth="1"/>
    <col min="781" max="781" width="5.85546875" customWidth="1"/>
    <col min="783" max="783" width="15.5703125" bestFit="1" customWidth="1"/>
    <col min="1025" max="1025" width="5.85546875" customWidth="1"/>
    <col min="1026" max="1026" width="32.5703125" bestFit="1" customWidth="1"/>
    <col min="1027" max="1027" width="15.140625" bestFit="1" customWidth="1"/>
    <col min="1028" max="1028" width="27.28515625" bestFit="1" customWidth="1"/>
    <col min="1029" max="1030" width="6.7109375" bestFit="1" customWidth="1"/>
    <col min="1031" max="1031" width="7.28515625" bestFit="1" customWidth="1"/>
    <col min="1032" max="1034" width="6.7109375" bestFit="1" customWidth="1"/>
    <col min="1035" max="1035" width="8.42578125" bestFit="1" customWidth="1"/>
    <col min="1036" max="1036" width="6" customWidth="1"/>
    <col min="1037" max="1037" width="5.85546875" customWidth="1"/>
    <col min="1039" max="1039" width="15.5703125" bestFit="1" customWidth="1"/>
    <col min="1281" max="1281" width="5.85546875" customWidth="1"/>
    <col min="1282" max="1282" width="32.5703125" bestFit="1" customWidth="1"/>
    <col min="1283" max="1283" width="15.140625" bestFit="1" customWidth="1"/>
    <col min="1284" max="1284" width="27.28515625" bestFit="1" customWidth="1"/>
    <col min="1285" max="1286" width="6.7109375" bestFit="1" customWidth="1"/>
    <col min="1287" max="1287" width="7.28515625" bestFit="1" customWidth="1"/>
    <col min="1288" max="1290" width="6.7109375" bestFit="1" customWidth="1"/>
    <col min="1291" max="1291" width="8.42578125" bestFit="1" customWidth="1"/>
    <col min="1292" max="1292" width="6" customWidth="1"/>
    <col min="1293" max="1293" width="5.85546875" customWidth="1"/>
    <col min="1295" max="1295" width="15.5703125" bestFit="1" customWidth="1"/>
    <col min="1537" max="1537" width="5.85546875" customWidth="1"/>
    <col min="1538" max="1538" width="32.5703125" bestFit="1" customWidth="1"/>
    <col min="1539" max="1539" width="15.140625" bestFit="1" customWidth="1"/>
    <col min="1540" max="1540" width="27.28515625" bestFit="1" customWidth="1"/>
    <col min="1541" max="1542" width="6.7109375" bestFit="1" customWidth="1"/>
    <col min="1543" max="1543" width="7.28515625" bestFit="1" customWidth="1"/>
    <col min="1544" max="1546" width="6.7109375" bestFit="1" customWidth="1"/>
    <col min="1547" max="1547" width="8.42578125" bestFit="1" customWidth="1"/>
    <col min="1548" max="1548" width="6" customWidth="1"/>
    <col min="1549" max="1549" width="5.85546875" customWidth="1"/>
    <col min="1551" max="1551" width="15.5703125" bestFit="1" customWidth="1"/>
    <col min="1793" max="1793" width="5.85546875" customWidth="1"/>
    <col min="1794" max="1794" width="32.5703125" bestFit="1" customWidth="1"/>
    <col min="1795" max="1795" width="15.140625" bestFit="1" customWidth="1"/>
    <col min="1796" max="1796" width="27.28515625" bestFit="1" customWidth="1"/>
    <col min="1797" max="1798" width="6.7109375" bestFit="1" customWidth="1"/>
    <col min="1799" max="1799" width="7.28515625" bestFit="1" customWidth="1"/>
    <col min="1800" max="1802" width="6.7109375" bestFit="1" customWidth="1"/>
    <col min="1803" max="1803" width="8.42578125" bestFit="1" customWidth="1"/>
    <col min="1804" max="1804" width="6" customWidth="1"/>
    <col min="1805" max="1805" width="5.85546875" customWidth="1"/>
    <col min="1807" max="1807" width="15.5703125" bestFit="1" customWidth="1"/>
    <col min="2049" max="2049" width="5.85546875" customWidth="1"/>
    <col min="2050" max="2050" width="32.5703125" bestFit="1" customWidth="1"/>
    <col min="2051" max="2051" width="15.140625" bestFit="1" customWidth="1"/>
    <col min="2052" max="2052" width="27.28515625" bestFit="1" customWidth="1"/>
    <col min="2053" max="2054" width="6.7109375" bestFit="1" customWidth="1"/>
    <col min="2055" max="2055" width="7.28515625" bestFit="1" customWidth="1"/>
    <col min="2056" max="2058" width="6.7109375" bestFit="1" customWidth="1"/>
    <col min="2059" max="2059" width="8.42578125" bestFit="1" customWidth="1"/>
    <col min="2060" max="2060" width="6" customWidth="1"/>
    <col min="2061" max="2061" width="5.85546875" customWidth="1"/>
    <col min="2063" max="2063" width="15.5703125" bestFit="1" customWidth="1"/>
    <col min="2305" max="2305" width="5.85546875" customWidth="1"/>
    <col min="2306" max="2306" width="32.5703125" bestFit="1" customWidth="1"/>
    <col min="2307" max="2307" width="15.140625" bestFit="1" customWidth="1"/>
    <col min="2308" max="2308" width="27.28515625" bestFit="1" customWidth="1"/>
    <col min="2309" max="2310" width="6.7109375" bestFit="1" customWidth="1"/>
    <col min="2311" max="2311" width="7.28515625" bestFit="1" customWidth="1"/>
    <col min="2312" max="2314" width="6.7109375" bestFit="1" customWidth="1"/>
    <col min="2315" max="2315" width="8.42578125" bestFit="1" customWidth="1"/>
    <col min="2316" max="2316" width="6" customWidth="1"/>
    <col min="2317" max="2317" width="5.85546875" customWidth="1"/>
    <col min="2319" max="2319" width="15.5703125" bestFit="1" customWidth="1"/>
    <col min="2561" max="2561" width="5.85546875" customWidth="1"/>
    <col min="2562" max="2562" width="32.5703125" bestFit="1" customWidth="1"/>
    <col min="2563" max="2563" width="15.140625" bestFit="1" customWidth="1"/>
    <col min="2564" max="2564" width="27.28515625" bestFit="1" customWidth="1"/>
    <col min="2565" max="2566" width="6.7109375" bestFit="1" customWidth="1"/>
    <col min="2567" max="2567" width="7.28515625" bestFit="1" customWidth="1"/>
    <col min="2568" max="2570" width="6.7109375" bestFit="1" customWidth="1"/>
    <col min="2571" max="2571" width="8.42578125" bestFit="1" customWidth="1"/>
    <col min="2572" max="2572" width="6" customWidth="1"/>
    <col min="2573" max="2573" width="5.85546875" customWidth="1"/>
    <col min="2575" max="2575" width="15.5703125" bestFit="1" customWidth="1"/>
    <col min="2817" max="2817" width="5.85546875" customWidth="1"/>
    <col min="2818" max="2818" width="32.5703125" bestFit="1" customWidth="1"/>
    <col min="2819" max="2819" width="15.140625" bestFit="1" customWidth="1"/>
    <col min="2820" max="2820" width="27.28515625" bestFit="1" customWidth="1"/>
    <col min="2821" max="2822" width="6.7109375" bestFit="1" customWidth="1"/>
    <col min="2823" max="2823" width="7.28515625" bestFit="1" customWidth="1"/>
    <col min="2824" max="2826" width="6.7109375" bestFit="1" customWidth="1"/>
    <col min="2827" max="2827" width="8.42578125" bestFit="1" customWidth="1"/>
    <col min="2828" max="2828" width="6" customWidth="1"/>
    <col min="2829" max="2829" width="5.85546875" customWidth="1"/>
    <col min="2831" max="2831" width="15.5703125" bestFit="1" customWidth="1"/>
    <col min="3073" max="3073" width="5.85546875" customWidth="1"/>
    <col min="3074" max="3074" width="32.5703125" bestFit="1" customWidth="1"/>
    <col min="3075" max="3075" width="15.140625" bestFit="1" customWidth="1"/>
    <col min="3076" max="3076" width="27.28515625" bestFit="1" customWidth="1"/>
    <col min="3077" max="3078" width="6.7109375" bestFit="1" customWidth="1"/>
    <col min="3079" max="3079" width="7.28515625" bestFit="1" customWidth="1"/>
    <col min="3080" max="3082" width="6.7109375" bestFit="1" customWidth="1"/>
    <col min="3083" max="3083" width="8.42578125" bestFit="1" customWidth="1"/>
    <col min="3084" max="3084" width="6" customWidth="1"/>
    <col min="3085" max="3085" width="5.85546875" customWidth="1"/>
    <col min="3087" max="3087" width="15.5703125" bestFit="1" customWidth="1"/>
    <col min="3329" max="3329" width="5.85546875" customWidth="1"/>
    <col min="3330" max="3330" width="32.5703125" bestFit="1" customWidth="1"/>
    <col min="3331" max="3331" width="15.140625" bestFit="1" customWidth="1"/>
    <col min="3332" max="3332" width="27.28515625" bestFit="1" customWidth="1"/>
    <col min="3333" max="3334" width="6.7109375" bestFit="1" customWidth="1"/>
    <col min="3335" max="3335" width="7.28515625" bestFit="1" customWidth="1"/>
    <col min="3336" max="3338" width="6.7109375" bestFit="1" customWidth="1"/>
    <col min="3339" max="3339" width="8.42578125" bestFit="1" customWidth="1"/>
    <col min="3340" max="3340" width="6" customWidth="1"/>
    <col min="3341" max="3341" width="5.85546875" customWidth="1"/>
    <col min="3343" max="3343" width="15.5703125" bestFit="1" customWidth="1"/>
    <col min="3585" max="3585" width="5.85546875" customWidth="1"/>
    <col min="3586" max="3586" width="32.5703125" bestFit="1" customWidth="1"/>
    <col min="3587" max="3587" width="15.140625" bestFit="1" customWidth="1"/>
    <col min="3588" max="3588" width="27.28515625" bestFit="1" customWidth="1"/>
    <col min="3589" max="3590" width="6.7109375" bestFit="1" customWidth="1"/>
    <col min="3591" max="3591" width="7.28515625" bestFit="1" customWidth="1"/>
    <col min="3592" max="3594" width="6.7109375" bestFit="1" customWidth="1"/>
    <col min="3595" max="3595" width="8.42578125" bestFit="1" customWidth="1"/>
    <col min="3596" max="3596" width="6" customWidth="1"/>
    <col min="3597" max="3597" width="5.85546875" customWidth="1"/>
    <col min="3599" max="3599" width="15.5703125" bestFit="1" customWidth="1"/>
    <col min="3841" max="3841" width="5.85546875" customWidth="1"/>
    <col min="3842" max="3842" width="32.5703125" bestFit="1" customWidth="1"/>
    <col min="3843" max="3843" width="15.140625" bestFit="1" customWidth="1"/>
    <col min="3844" max="3844" width="27.28515625" bestFit="1" customWidth="1"/>
    <col min="3845" max="3846" width="6.7109375" bestFit="1" customWidth="1"/>
    <col min="3847" max="3847" width="7.28515625" bestFit="1" customWidth="1"/>
    <col min="3848" max="3850" width="6.7109375" bestFit="1" customWidth="1"/>
    <col min="3851" max="3851" width="8.42578125" bestFit="1" customWidth="1"/>
    <col min="3852" max="3852" width="6" customWidth="1"/>
    <col min="3853" max="3853" width="5.85546875" customWidth="1"/>
    <col min="3855" max="3855" width="15.5703125" bestFit="1" customWidth="1"/>
    <col min="4097" max="4097" width="5.85546875" customWidth="1"/>
    <col min="4098" max="4098" width="32.5703125" bestFit="1" customWidth="1"/>
    <col min="4099" max="4099" width="15.140625" bestFit="1" customWidth="1"/>
    <col min="4100" max="4100" width="27.28515625" bestFit="1" customWidth="1"/>
    <col min="4101" max="4102" width="6.7109375" bestFit="1" customWidth="1"/>
    <col min="4103" max="4103" width="7.28515625" bestFit="1" customWidth="1"/>
    <col min="4104" max="4106" width="6.7109375" bestFit="1" customWidth="1"/>
    <col min="4107" max="4107" width="8.42578125" bestFit="1" customWidth="1"/>
    <col min="4108" max="4108" width="6" customWidth="1"/>
    <col min="4109" max="4109" width="5.85546875" customWidth="1"/>
    <col min="4111" max="4111" width="15.5703125" bestFit="1" customWidth="1"/>
    <col min="4353" max="4353" width="5.85546875" customWidth="1"/>
    <col min="4354" max="4354" width="32.5703125" bestFit="1" customWidth="1"/>
    <col min="4355" max="4355" width="15.140625" bestFit="1" customWidth="1"/>
    <col min="4356" max="4356" width="27.28515625" bestFit="1" customWidth="1"/>
    <col min="4357" max="4358" width="6.7109375" bestFit="1" customWidth="1"/>
    <col min="4359" max="4359" width="7.28515625" bestFit="1" customWidth="1"/>
    <col min="4360" max="4362" width="6.7109375" bestFit="1" customWidth="1"/>
    <col min="4363" max="4363" width="8.42578125" bestFit="1" customWidth="1"/>
    <col min="4364" max="4364" width="6" customWidth="1"/>
    <col min="4365" max="4365" width="5.85546875" customWidth="1"/>
    <col min="4367" max="4367" width="15.5703125" bestFit="1" customWidth="1"/>
    <col min="4609" max="4609" width="5.85546875" customWidth="1"/>
    <col min="4610" max="4610" width="32.5703125" bestFit="1" customWidth="1"/>
    <col min="4611" max="4611" width="15.140625" bestFit="1" customWidth="1"/>
    <col min="4612" max="4612" width="27.28515625" bestFit="1" customWidth="1"/>
    <col min="4613" max="4614" width="6.7109375" bestFit="1" customWidth="1"/>
    <col min="4615" max="4615" width="7.28515625" bestFit="1" customWidth="1"/>
    <col min="4616" max="4618" width="6.7109375" bestFit="1" customWidth="1"/>
    <col min="4619" max="4619" width="8.42578125" bestFit="1" customWidth="1"/>
    <col min="4620" max="4620" width="6" customWidth="1"/>
    <col min="4621" max="4621" width="5.85546875" customWidth="1"/>
    <col min="4623" max="4623" width="15.5703125" bestFit="1" customWidth="1"/>
    <col min="4865" max="4865" width="5.85546875" customWidth="1"/>
    <col min="4866" max="4866" width="32.5703125" bestFit="1" customWidth="1"/>
    <col min="4867" max="4867" width="15.140625" bestFit="1" customWidth="1"/>
    <col min="4868" max="4868" width="27.28515625" bestFit="1" customWidth="1"/>
    <col min="4869" max="4870" width="6.7109375" bestFit="1" customWidth="1"/>
    <col min="4871" max="4871" width="7.28515625" bestFit="1" customWidth="1"/>
    <col min="4872" max="4874" width="6.7109375" bestFit="1" customWidth="1"/>
    <col min="4875" max="4875" width="8.42578125" bestFit="1" customWidth="1"/>
    <col min="4876" max="4876" width="6" customWidth="1"/>
    <col min="4877" max="4877" width="5.85546875" customWidth="1"/>
    <col min="4879" max="4879" width="15.5703125" bestFit="1" customWidth="1"/>
    <col min="5121" max="5121" width="5.85546875" customWidth="1"/>
    <col min="5122" max="5122" width="32.5703125" bestFit="1" customWidth="1"/>
    <col min="5123" max="5123" width="15.140625" bestFit="1" customWidth="1"/>
    <col min="5124" max="5124" width="27.28515625" bestFit="1" customWidth="1"/>
    <col min="5125" max="5126" width="6.7109375" bestFit="1" customWidth="1"/>
    <col min="5127" max="5127" width="7.28515625" bestFit="1" customWidth="1"/>
    <col min="5128" max="5130" width="6.7109375" bestFit="1" customWidth="1"/>
    <col min="5131" max="5131" width="8.42578125" bestFit="1" customWidth="1"/>
    <col min="5132" max="5132" width="6" customWidth="1"/>
    <col min="5133" max="5133" width="5.85546875" customWidth="1"/>
    <col min="5135" max="5135" width="15.5703125" bestFit="1" customWidth="1"/>
    <col min="5377" max="5377" width="5.85546875" customWidth="1"/>
    <col min="5378" max="5378" width="32.5703125" bestFit="1" customWidth="1"/>
    <col min="5379" max="5379" width="15.140625" bestFit="1" customWidth="1"/>
    <col min="5380" max="5380" width="27.28515625" bestFit="1" customWidth="1"/>
    <col min="5381" max="5382" width="6.7109375" bestFit="1" customWidth="1"/>
    <col min="5383" max="5383" width="7.28515625" bestFit="1" customWidth="1"/>
    <col min="5384" max="5386" width="6.7109375" bestFit="1" customWidth="1"/>
    <col min="5387" max="5387" width="8.42578125" bestFit="1" customWidth="1"/>
    <col min="5388" max="5388" width="6" customWidth="1"/>
    <col min="5389" max="5389" width="5.85546875" customWidth="1"/>
    <col min="5391" max="5391" width="15.5703125" bestFit="1" customWidth="1"/>
    <col min="5633" max="5633" width="5.85546875" customWidth="1"/>
    <col min="5634" max="5634" width="32.5703125" bestFit="1" customWidth="1"/>
    <col min="5635" max="5635" width="15.140625" bestFit="1" customWidth="1"/>
    <col min="5636" max="5636" width="27.28515625" bestFit="1" customWidth="1"/>
    <col min="5637" max="5638" width="6.7109375" bestFit="1" customWidth="1"/>
    <col min="5639" max="5639" width="7.28515625" bestFit="1" customWidth="1"/>
    <col min="5640" max="5642" width="6.7109375" bestFit="1" customWidth="1"/>
    <col min="5643" max="5643" width="8.42578125" bestFit="1" customWidth="1"/>
    <col min="5644" max="5644" width="6" customWidth="1"/>
    <col min="5645" max="5645" width="5.85546875" customWidth="1"/>
    <col min="5647" max="5647" width="15.5703125" bestFit="1" customWidth="1"/>
    <col min="5889" max="5889" width="5.85546875" customWidth="1"/>
    <col min="5890" max="5890" width="32.5703125" bestFit="1" customWidth="1"/>
    <col min="5891" max="5891" width="15.140625" bestFit="1" customWidth="1"/>
    <col min="5892" max="5892" width="27.28515625" bestFit="1" customWidth="1"/>
    <col min="5893" max="5894" width="6.7109375" bestFit="1" customWidth="1"/>
    <col min="5895" max="5895" width="7.28515625" bestFit="1" customWidth="1"/>
    <col min="5896" max="5898" width="6.7109375" bestFit="1" customWidth="1"/>
    <col min="5899" max="5899" width="8.42578125" bestFit="1" customWidth="1"/>
    <col min="5900" max="5900" width="6" customWidth="1"/>
    <col min="5901" max="5901" width="5.85546875" customWidth="1"/>
    <col min="5903" max="5903" width="15.5703125" bestFit="1" customWidth="1"/>
    <col min="6145" max="6145" width="5.85546875" customWidth="1"/>
    <col min="6146" max="6146" width="32.5703125" bestFit="1" customWidth="1"/>
    <col min="6147" max="6147" width="15.140625" bestFit="1" customWidth="1"/>
    <col min="6148" max="6148" width="27.28515625" bestFit="1" customWidth="1"/>
    <col min="6149" max="6150" width="6.7109375" bestFit="1" customWidth="1"/>
    <col min="6151" max="6151" width="7.28515625" bestFit="1" customWidth="1"/>
    <col min="6152" max="6154" width="6.7109375" bestFit="1" customWidth="1"/>
    <col min="6155" max="6155" width="8.42578125" bestFit="1" customWidth="1"/>
    <col min="6156" max="6156" width="6" customWidth="1"/>
    <col min="6157" max="6157" width="5.85546875" customWidth="1"/>
    <col min="6159" max="6159" width="15.5703125" bestFit="1" customWidth="1"/>
    <col min="6401" max="6401" width="5.85546875" customWidth="1"/>
    <col min="6402" max="6402" width="32.5703125" bestFit="1" customWidth="1"/>
    <col min="6403" max="6403" width="15.140625" bestFit="1" customWidth="1"/>
    <col min="6404" max="6404" width="27.28515625" bestFit="1" customWidth="1"/>
    <col min="6405" max="6406" width="6.7109375" bestFit="1" customWidth="1"/>
    <col min="6407" max="6407" width="7.28515625" bestFit="1" customWidth="1"/>
    <col min="6408" max="6410" width="6.7109375" bestFit="1" customWidth="1"/>
    <col min="6411" max="6411" width="8.42578125" bestFit="1" customWidth="1"/>
    <col min="6412" max="6412" width="6" customWidth="1"/>
    <col min="6413" max="6413" width="5.85546875" customWidth="1"/>
    <col min="6415" max="6415" width="15.5703125" bestFit="1" customWidth="1"/>
    <col min="6657" max="6657" width="5.85546875" customWidth="1"/>
    <col min="6658" max="6658" width="32.5703125" bestFit="1" customWidth="1"/>
    <col min="6659" max="6659" width="15.140625" bestFit="1" customWidth="1"/>
    <col min="6660" max="6660" width="27.28515625" bestFit="1" customWidth="1"/>
    <col min="6661" max="6662" width="6.7109375" bestFit="1" customWidth="1"/>
    <col min="6663" max="6663" width="7.28515625" bestFit="1" customWidth="1"/>
    <col min="6664" max="6666" width="6.7109375" bestFit="1" customWidth="1"/>
    <col min="6667" max="6667" width="8.42578125" bestFit="1" customWidth="1"/>
    <col min="6668" max="6668" width="6" customWidth="1"/>
    <col min="6669" max="6669" width="5.85546875" customWidth="1"/>
    <col min="6671" max="6671" width="15.5703125" bestFit="1" customWidth="1"/>
    <col min="6913" max="6913" width="5.85546875" customWidth="1"/>
    <col min="6914" max="6914" width="32.5703125" bestFit="1" customWidth="1"/>
    <col min="6915" max="6915" width="15.140625" bestFit="1" customWidth="1"/>
    <col min="6916" max="6916" width="27.28515625" bestFit="1" customWidth="1"/>
    <col min="6917" max="6918" width="6.7109375" bestFit="1" customWidth="1"/>
    <col min="6919" max="6919" width="7.28515625" bestFit="1" customWidth="1"/>
    <col min="6920" max="6922" width="6.7109375" bestFit="1" customWidth="1"/>
    <col min="6923" max="6923" width="8.42578125" bestFit="1" customWidth="1"/>
    <col min="6924" max="6924" width="6" customWidth="1"/>
    <col min="6925" max="6925" width="5.85546875" customWidth="1"/>
    <col min="6927" max="6927" width="15.5703125" bestFit="1" customWidth="1"/>
    <col min="7169" max="7169" width="5.85546875" customWidth="1"/>
    <col min="7170" max="7170" width="32.5703125" bestFit="1" customWidth="1"/>
    <col min="7171" max="7171" width="15.140625" bestFit="1" customWidth="1"/>
    <col min="7172" max="7172" width="27.28515625" bestFit="1" customWidth="1"/>
    <col min="7173" max="7174" width="6.7109375" bestFit="1" customWidth="1"/>
    <col min="7175" max="7175" width="7.28515625" bestFit="1" customWidth="1"/>
    <col min="7176" max="7178" width="6.7109375" bestFit="1" customWidth="1"/>
    <col min="7179" max="7179" width="8.42578125" bestFit="1" customWidth="1"/>
    <col min="7180" max="7180" width="6" customWidth="1"/>
    <col min="7181" max="7181" width="5.85546875" customWidth="1"/>
    <col min="7183" max="7183" width="15.5703125" bestFit="1" customWidth="1"/>
    <col min="7425" max="7425" width="5.85546875" customWidth="1"/>
    <col min="7426" max="7426" width="32.5703125" bestFit="1" customWidth="1"/>
    <col min="7427" max="7427" width="15.140625" bestFit="1" customWidth="1"/>
    <col min="7428" max="7428" width="27.28515625" bestFit="1" customWidth="1"/>
    <col min="7429" max="7430" width="6.7109375" bestFit="1" customWidth="1"/>
    <col min="7431" max="7431" width="7.28515625" bestFit="1" customWidth="1"/>
    <col min="7432" max="7434" width="6.7109375" bestFit="1" customWidth="1"/>
    <col min="7435" max="7435" width="8.42578125" bestFit="1" customWidth="1"/>
    <col min="7436" max="7436" width="6" customWidth="1"/>
    <col min="7437" max="7437" width="5.85546875" customWidth="1"/>
    <col min="7439" max="7439" width="15.5703125" bestFit="1" customWidth="1"/>
    <col min="7681" max="7681" width="5.85546875" customWidth="1"/>
    <col min="7682" max="7682" width="32.5703125" bestFit="1" customWidth="1"/>
    <col min="7683" max="7683" width="15.140625" bestFit="1" customWidth="1"/>
    <col min="7684" max="7684" width="27.28515625" bestFit="1" customWidth="1"/>
    <col min="7685" max="7686" width="6.7109375" bestFit="1" customWidth="1"/>
    <col min="7687" max="7687" width="7.28515625" bestFit="1" customWidth="1"/>
    <col min="7688" max="7690" width="6.7109375" bestFit="1" customWidth="1"/>
    <col min="7691" max="7691" width="8.42578125" bestFit="1" customWidth="1"/>
    <col min="7692" max="7692" width="6" customWidth="1"/>
    <col min="7693" max="7693" width="5.85546875" customWidth="1"/>
    <col min="7695" max="7695" width="15.5703125" bestFit="1" customWidth="1"/>
    <col min="7937" max="7937" width="5.85546875" customWidth="1"/>
    <col min="7938" max="7938" width="32.5703125" bestFit="1" customWidth="1"/>
    <col min="7939" max="7939" width="15.140625" bestFit="1" customWidth="1"/>
    <col min="7940" max="7940" width="27.28515625" bestFit="1" customWidth="1"/>
    <col min="7941" max="7942" width="6.7109375" bestFit="1" customWidth="1"/>
    <col min="7943" max="7943" width="7.28515625" bestFit="1" customWidth="1"/>
    <col min="7944" max="7946" width="6.7109375" bestFit="1" customWidth="1"/>
    <col min="7947" max="7947" width="8.42578125" bestFit="1" customWidth="1"/>
    <col min="7948" max="7948" width="6" customWidth="1"/>
    <col min="7949" max="7949" width="5.85546875" customWidth="1"/>
    <col min="7951" max="7951" width="15.5703125" bestFit="1" customWidth="1"/>
    <col min="8193" max="8193" width="5.85546875" customWidth="1"/>
    <col min="8194" max="8194" width="32.5703125" bestFit="1" customWidth="1"/>
    <col min="8195" max="8195" width="15.140625" bestFit="1" customWidth="1"/>
    <col min="8196" max="8196" width="27.28515625" bestFit="1" customWidth="1"/>
    <col min="8197" max="8198" width="6.7109375" bestFit="1" customWidth="1"/>
    <col min="8199" max="8199" width="7.28515625" bestFit="1" customWidth="1"/>
    <col min="8200" max="8202" width="6.7109375" bestFit="1" customWidth="1"/>
    <col min="8203" max="8203" width="8.42578125" bestFit="1" customWidth="1"/>
    <col min="8204" max="8204" width="6" customWidth="1"/>
    <col min="8205" max="8205" width="5.85546875" customWidth="1"/>
    <col min="8207" max="8207" width="15.5703125" bestFit="1" customWidth="1"/>
    <col min="8449" max="8449" width="5.85546875" customWidth="1"/>
    <col min="8450" max="8450" width="32.5703125" bestFit="1" customWidth="1"/>
    <col min="8451" max="8451" width="15.140625" bestFit="1" customWidth="1"/>
    <col min="8452" max="8452" width="27.28515625" bestFit="1" customWidth="1"/>
    <col min="8453" max="8454" width="6.7109375" bestFit="1" customWidth="1"/>
    <col min="8455" max="8455" width="7.28515625" bestFit="1" customWidth="1"/>
    <col min="8456" max="8458" width="6.7109375" bestFit="1" customWidth="1"/>
    <col min="8459" max="8459" width="8.42578125" bestFit="1" customWidth="1"/>
    <col min="8460" max="8460" width="6" customWidth="1"/>
    <col min="8461" max="8461" width="5.85546875" customWidth="1"/>
    <col min="8463" max="8463" width="15.5703125" bestFit="1" customWidth="1"/>
    <col min="8705" max="8705" width="5.85546875" customWidth="1"/>
    <col min="8706" max="8706" width="32.5703125" bestFit="1" customWidth="1"/>
    <col min="8707" max="8707" width="15.140625" bestFit="1" customWidth="1"/>
    <col min="8708" max="8708" width="27.28515625" bestFit="1" customWidth="1"/>
    <col min="8709" max="8710" width="6.7109375" bestFit="1" customWidth="1"/>
    <col min="8711" max="8711" width="7.28515625" bestFit="1" customWidth="1"/>
    <col min="8712" max="8714" width="6.7109375" bestFit="1" customWidth="1"/>
    <col min="8715" max="8715" width="8.42578125" bestFit="1" customWidth="1"/>
    <col min="8716" max="8716" width="6" customWidth="1"/>
    <col min="8717" max="8717" width="5.85546875" customWidth="1"/>
    <col min="8719" max="8719" width="15.5703125" bestFit="1" customWidth="1"/>
    <col min="8961" max="8961" width="5.85546875" customWidth="1"/>
    <col min="8962" max="8962" width="32.5703125" bestFit="1" customWidth="1"/>
    <col min="8963" max="8963" width="15.140625" bestFit="1" customWidth="1"/>
    <col min="8964" max="8964" width="27.28515625" bestFit="1" customWidth="1"/>
    <col min="8965" max="8966" width="6.7109375" bestFit="1" customWidth="1"/>
    <col min="8967" max="8967" width="7.28515625" bestFit="1" customWidth="1"/>
    <col min="8968" max="8970" width="6.7109375" bestFit="1" customWidth="1"/>
    <col min="8971" max="8971" width="8.42578125" bestFit="1" customWidth="1"/>
    <col min="8972" max="8972" width="6" customWidth="1"/>
    <col min="8973" max="8973" width="5.85546875" customWidth="1"/>
    <col min="8975" max="8975" width="15.5703125" bestFit="1" customWidth="1"/>
    <col min="9217" max="9217" width="5.85546875" customWidth="1"/>
    <col min="9218" max="9218" width="32.5703125" bestFit="1" customWidth="1"/>
    <col min="9219" max="9219" width="15.140625" bestFit="1" customWidth="1"/>
    <col min="9220" max="9220" width="27.28515625" bestFit="1" customWidth="1"/>
    <col min="9221" max="9222" width="6.7109375" bestFit="1" customWidth="1"/>
    <col min="9223" max="9223" width="7.28515625" bestFit="1" customWidth="1"/>
    <col min="9224" max="9226" width="6.7109375" bestFit="1" customWidth="1"/>
    <col min="9227" max="9227" width="8.42578125" bestFit="1" customWidth="1"/>
    <col min="9228" max="9228" width="6" customWidth="1"/>
    <col min="9229" max="9229" width="5.85546875" customWidth="1"/>
    <col min="9231" max="9231" width="15.5703125" bestFit="1" customWidth="1"/>
    <col min="9473" max="9473" width="5.85546875" customWidth="1"/>
    <col min="9474" max="9474" width="32.5703125" bestFit="1" customWidth="1"/>
    <col min="9475" max="9475" width="15.140625" bestFit="1" customWidth="1"/>
    <col min="9476" max="9476" width="27.28515625" bestFit="1" customWidth="1"/>
    <col min="9477" max="9478" width="6.7109375" bestFit="1" customWidth="1"/>
    <col min="9479" max="9479" width="7.28515625" bestFit="1" customWidth="1"/>
    <col min="9480" max="9482" width="6.7109375" bestFit="1" customWidth="1"/>
    <col min="9483" max="9483" width="8.42578125" bestFit="1" customWidth="1"/>
    <col min="9484" max="9484" width="6" customWidth="1"/>
    <col min="9485" max="9485" width="5.85546875" customWidth="1"/>
    <col min="9487" max="9487" width="15.5703125" bestFit="1" customWidth="1"/>
    <col min="9729" max="9729" width="5.85546875" customWidth="1"/>
    <col min="9730" max="9730" width="32.5703125" bestFit="1" customWidth="1"/>
    <col min="9731" max="9731" width="15.140625" bestFit="1" customWidth="1"/>
    <col min="9732" max="9732" width="27.28515625" bestFit="1" customWidth="1"/>
    <col min="9733" max="9734" width="6.7109375" bestFit="1" customWidth="1"/>
    <col min="9735" max="9735" width="7.28515625" bestFit="1" customWidth="1"/>
    <col min="9736" max="9738" width="6.7109375" bestFit="1" customWidth="1"/>
    <col min="9739" max="9739" width="8.42578125" bestFit="1" customWidth="1"/>
    <col min="9740" max="9740" width="6" customWidth="1"/>
    <col min="9741" max="9741" width="5.85546875" customWidth="1"/>
    <col min="9743" max="9743" width="15.5703125" bestFit="1" customWidth="1"/>
    <col min="9985" max="9985" width="5.85546875" customWidth="1"/>
    <col min="9986" max="9986" width="32.5703125" bestFit="1" customWidth="1"/>
    <col min="9987" max="9987" width="15.140625" bestFit="1" customWidth="1"/>
    <col min="9988" max="9988" width="27.28515625" bestFit="1" customWidth="1"/>
    <col min="9989" max="9990" width="6.7109375" bestFit="1" customWidth="1"/>
    <col min="9991" max="9991" width="7.28515625" bestFit="1" customWidth="1"/>
    <col min="9992" max="9994" width="6.7109375" bestFit="1" customWidth="1"/>
    <col min="9995" max="9995" width="8.42578125" bestFit="1" customWidth="1"/>
    <col min="9996" max="9996" width="6" customWidth="1"/>
    <col min="9997" max="9997" width="5.85546875" customWidth="1"/>
    <col min="9999" max="9999" width="15.5703125" bestFit="1" customWidth="1"/>
    <col min="10241" max="10241" width="5.85546875" customWidth="1"/>
    <col min="10242" max="10242" width="32.5703125" bestFit="1" customWidth="1"/>
    <col min="10243" max="10243" width="15.140625" bestFit="1" customWidth="1"/>
    <col min="10244" max="10244" width="27.28515625" bestFit="1" customWidth="1"/>
    <col min="10245" max="10246" width="6.7109375" bestFit="1" customWidth="1"/>
    <col min="10247" max="10247" width="7.28515625" bestFit="1" customWidth="1"/>
    <col min="10248" max="10250" width="6.7109375" bestFit="1" customWidth="1"/>
    <col min="10251" max="10251" width="8.42578125" bestFit="1" customWidth="1"/>
    <col min="10252" max="10252" width="6" customWidth="1"/>
    <col min="10253" max="10253" width="5.85546875" customWidth="1"/>
    <col min="10255" max="10255" width="15.5703125" bestFit="1" customWidth="1"/>
    <col min="10497" max="10497" width="5.85546875" customWidth="1"/>
    <col min="10498" max="10498" width="32.5703125" bestFit="1" customWidth="1"/>
    <col min="10499" max="10499" width="15.140625" bestFit="1" customWidth="1"/>
    <col min="10500" max="10500" width="27.28515625" bestFit="1" customWidth="1"/>
    <col min="10501" max="10502" width="6.7109375" bestFit="1" customWidth="1"/>
    <col min="10503" max="10503" width="7.28515625" bestFit="1" customWidth="1"/>
    <col min="10504" max="10506" width="6.7109375" bestFit="1" customWidth="1"/>
    <col min="10507" max="10507" width="8.42578125" bestFit="1" customWidth="1"/>
    <col min="10508" max="10508" width="6" customWidth="1"/>
    <col min="10509" max="10509" width="5.85546875" customWidth="1"/>
    <col min="10511" max="10511" width="15.5703125" bestFit="1" customWidth="1"/>
    <col min="10753" max="10753" width="5.85546875" customWidth="1"/>
    <col min="10754" max="10754" width="32.5703125" bestFit="1" customWidth="1"/>
    <col min="10755" max="10755" width="15.140625" bestFit="1" customWidth="1"/>
    <col min="10756" max="10756" width="27.28515625" bestFit="1" customWidth="1"/>
    <col min="10757" max="10758" width="6.7109375" bestFit="1" customWidth="1"/>
    <col min="10759" max="10759" width="7.28515625" bestFit="1" customWidth="1"/>
    <col min="10760" max="10762" width="6.7109375" bestFit="1" customWidth="1"/>
    <col min="10763" max="10763" width="8.42578125" bestFit="1" customWidth="1"/>
    <col min="10764" max="10764" width="6" customWidth="1"/>
    <col min="10765" max="10765" width="5.85546875" customWidth="1"/>
    <col min="10767" max="10767" width="15.5703125" bestFit="1" customWidth="1"/>
    <col min="11009" max="11009" width="5.85546875" customWidth="1"/>
    <col min="11010" max="11010" width="32.5703125" bestFit="1" customWidth="1"/>
    <col min="11011" max="11011" width="15.140625" bestFit="1" customWidth="1"/>
    <col min="11012" max="11012" width="27.28515625" bestFit="1" customWidth="1"/>
    <col min="11013" max="11014" width="6.7109375" bestFit="1" customWidth="1"/>
    <col min="11015" max="11015" width="7.28515625" bestFit="1" customWidth="1"/>
    <col min="11016" max="11018" width="6.7109375" bestFit="1" customWidth="1"/>
    <col min="11019" max="11019" width="8.42578125" bestFit="1" customWidth="1"/>
    <col min="11020" max="11020" width="6" customWidth="1"/>
    <col min="11021" max="11021" width="5.85546875" customWidth="1"/>
    <col min="11023" max="11023" width="15.5703125" bestFit="1" customWidth="1"/>
    <col min="11265" max="11265" width="5.85546875" customWidth="1"/>
    <col min="11266" max="11266" width="32.5703125" bestFit="1" customWidth="1"/>
    <col min="11267" max="11267" width="15.140625" bestFit="1" customWidth="1"/>
    <col min="11268" max="11268" width="27.28515625" bestFit="1" customWidth="1"/>
    <col min="11269" max="11270" width="6.7109375" bestFit="1" customWidth="1"/>
    <col min="11271" max="11271" width="7.28515625" bestFit="1" customWidth="1"/>
    <col min="11272" max="11274" width="6.7109375" bestFit="1" customWidth="1"/>
    <col min="11275" max="11275" width="8.42578125" bestFit="1" customWidth="1"/>
    <col min="11276" max="11276" width="6" customWidth="1"/>
    <col min="11277" max="11277" width="5.85546875" customWidth="1"/>
    <col min="11279" max="11279" width="15.5703125" bestFit="1" customWidth="1"/>
    <col min="11521" max="11521" width="5.85546875" customWidth="1"/>
    <col min="11522" max="11522" width="32.5703125" bestFit="1" customWidth="1"/>
    <col min="11523" max="11523" width="15.140625" bestFit="1" customWidth="1"/>
    <col min="11524" max="11524" width="27.28515625" bestFit="1" customWidth="1"/>
    <col min="11525" max="11526" width="6.7109375" bestFit="1" customWidth="1"/>
    <col min="11527" max="11527" width="7.28515625" bestFit="1" customWidth="1"/>
    <col min="11528" max="11530" width="6.7109375" bestFit="1" customWidth="1"/>
    <col min="11531" max="11531" width="8.42578125" bestFit="1" customWidth="1"/>
    <col min="11532" max="11532" width="6" customWidth="1"/>
    <col min="11533" max="11533" width="5.85546875" customWidth="1"/>
    <col min="11535" max="11535" width="15.5703125" bestFit="1" customWidth="1"/>
    <col min="11777" max="11777" width="5.85546875" customWidth="1"/>
    <col min="11778" max="11778" width="32.5703125" bestFit="1" customWidth="1"/>
    <col min="11779" max="11779" width="15.140625" bestFit="1" customWidth="1"/>
    <col min="11780" max="11780" width="27.28515625" bestFit="1" customWidth="1"/>
    <col min="11781" max="11782" width="6.7109375" bestFit="1" customWidth="1"/>
    <col min="11783" max="11783" width="7.28515625" bestFit="1" customWidth="1"/>
    <col min="11784" max="11786" width="6.7109375" bestFit="1" customWidth="1"/>
    <col min="11787" max="11787" width="8.42578125" bestFit="1" customWidth="1"/>
    <col min="11788" max="11788" width="6" customWidth="1"/>
    <col min="11789" max="11789" width="5.85546875" customWidth="1"/>
    <col min="11791" max="11791" width="15.5703125" bestFit="1" customWidth="1"/>
    <col min="12033" max="12033" width="5.85546875" customWidth="1"/>
    <col min="12034" max="12034" width="32.5703125" bestFit="1" customWidth="1"/>
    <col min="12035" max="12035" width="15.140625" bestFit="1" customWidth="1"/>
    <col min="12036" max="12036" width="27.28515625" bestFit="1" customWidth="1"/>
    <col min="12037" max="12038" width="6.7109375" bestFit="1" customWidth="1"/>
    <col min="12039" max="12039" width="7.28515625" bestFit="1" customWidth="1"/>
    <col min="12040" max="12042" width="6.7109375" bestFit="1" customWidth="1"/>
    <col min="12043" max="12043" width="8.42578125" bestFit="1" customWidth="1"/>
    <col min="12044" max="12044" width="6" customWidth="1"/>
    <col min="12045" max="12045" width="5.85546875" customWidth="1"/>
    <col min="12047" max="12047" width="15.5703125" bestFit="1" customWidth="1"/>
    <col min="12289" max="12289" width="5.85546875" customWidth="1"/>
    <col min="12290" max="12290" width="32.5703125" bestFit="1" customWidth="1"/>
    <col min="12291" max="12291" width="15.140625" bestFit="1" customWidth="1"/>
    <col min="12292" max="12292" width="27.28515625" bestFit="1" customWidth="1"/>
    <col min="12293" max="12294" width="6.7109375" bestFit="1" customWidth="1"/>
    <col min="12295" max="12295" width="7.28515625" bestFit="1" customWidth="1"/>
    <col min="12296" max="12298" width="6.7109375" bestFit="1" customWidth="1"/>
    <col min="12299" max="12299" width="8.42578125" bestFit="1" customWidth="1"/>
    <col min="12300" max="12300" width="6" customWidth="1"/>
    <col min="12301" max="12301" width="5.85546875" customWidth="1"/>
    <col min="12303" max="12303" width="15.5703125" bestFit="1" customWidth="1"/>
    <col min="12545" max="12545" width="5.85546875" customWidth="1"/>
    <col min="12546" max="12546" width="32.5703125" bestFit="1" customWidth="1"/>
    <col min="12547" max="12547" width="15.140625" bestFit="1" customWidth="1"/>
    <col min="12548" max="12548" width="27.28515625" bestFit="1" customWidth="1"/>
    <col min="12549" max="12550" width="6.7109375" bestFit="1" customWidth="1"/>
    <col min="12551" max="12551" width="7.28515625" bestFit="1" customWidth="1"/>
    <col min="12552" max="12554" width="6.7109375" bestFit="1" customWidth="1"/>
    <col min="12555" max="12555" width="8.42578125" bestFit="1" customWidth="1"/>
    <col min="12556" max="12556" width="6" customWidth="1"/>
    <col min="12557" max="12557" width="5.85546875" customWidth="1"/>
    <col min="12559" max="12559" width="15.5703125" bestFit="1" customWidth="1"/>
    <col min="12801" max="12801" width="5.85546875" customWidth="1"/>
    <col min="12802" max="12802" width="32.5703125" bestFit="1" customWidth="1"/>
    <col min="12803" max="12803" width="15.140625" bestFit="1" customWidth="1"/>
    <col min="12804" max="12804" width="27.28515625" bestFit="1" customWidth="1"/>
    <col min="12805" max="12806" width="6.7109375" bestFit="1" customWidth="1"/>
    <col min="12807" max="12807" width="7.28515625" bestFit="1" customWidth="1"/>
    <col min="12808" max="12810" width="6.7109375" bestFit="1" customWidth="1"/>
    <col min="12811" max="12811" width="8.42578125" bestFit="1" customWidth="1"/>
    <col min="12812" max="12812" width="6" customWidth="1"/>
    <col min="12813" max="12813" width="5.85546875" customWidth="1"/>
    <col min="12815" max="12815" width="15.5703125" bestFit="1" customWidth="1"/>
    <col min="13057" max="13057" width="5.85546875" customWidth="1"/>
    <col min="13058" max="13058" width="32.5703125" bestFit="1" customWidth="1"/>
    <col min="13059" max="13059" width="15.140625" bestFit="1" customWidth="1"/>
    <col min="13060" max="13060" width="27.28515625" bestFit="1" customWidth="1"/>
    <col min="13061" max="13062" width="6.7109375" bestFit="1" customWidth="1"/>
    <col min="13063" max="13063" width="7.28515625" bestFit="1" customWidth="1"/>
    <col min="13064" max="13066" width="6.7109375" bestFit="1" customWidth="1"/>
    <col min="13067" max="13067" width="8.42578125" bestFit="1" customWidth="1"/>
    <col min="13068" max="13068" width="6" customWidth="1"/>
    <col min="13069" max="13069" width="5.85546875" customWidth="1"/>
    <col min="13071" max="13071" width="15.5703125" bestFit="1" customWidth="1"/>
    <col min="13313" max="13313" width="5.85546875" customWidth="1"/>
    <col min="13314" max="13314" width="32.5703125" bestFit="1" customWidth="1"/>
    <col min="13315" max="13315" width="15.140625" bestFit="1" customWidth="1"/>
    <col min="13316" max="13316" width="27.28515625" bestFit="1" customWidth="1"/>
    <col min="13317" max="13318" width="6.7109375" bestFit="1" customWidth="1"/>
    <col min="13319" max="13319" width="7.28515625" bestFit="1" customWidth="1"/>
    <col min="13320" max="13322" width="6.7109375" bestFit="1" customWidth="1"/>
    <col min="13323" max="13323" width="8.42578125" bestFit="1" customWidth="1"/>
    <col min="13324" max="13324" width="6" customWidth="1"/>
    <col min="13325" max="13325" width="5.85546875" customWidth="1"/>
    <col min="13327" max="13327" width="15.5703125" bestFit="1" customWidth="1"/>
    <col min="13569" max="13569" width="5.85546875" customWidth="1"/>
    <col min="13570" max="13570" width="32.5703125" bestFit="1" customWidth="1"/>
    <col min="13571" max="13571" width="15.140625" bestFit="1" customWidth="1"/>
    <col min="13572" max="13572" width="27.28515625" bestFit="1" customWidth="1"/>
    <col min="13573" max="13574" width="6.7109375" bestFit="1" customWidth="1"/>
    <col min="13575" max="13575" width="7.28515625" bestFit="1" customWidth="1"/>
    <col min="13576" max="13578" width="6.7109375" bestFit="1" customWidth="1"/>
    <col min="13579" max="13579" width="8.42578125" bestFit="1" customWidth="1"/>
    <col min="13580" max="13580" width="6" customWidth="1"/>
    <col min="13581" max="13581" width="5.85546875" customWidth="1"/>
    <col min="13583" max="13583" width="15.5703125" bestFit="1" customWidth="1"/>
    <col min="13825" max="13825" width="5.85546875" customWidth="1"/>
    <col min="13826" max="13826" width="32.5703125" bestFit="1" customWidth="1"/>
    <col min="13827" max="13827" width="15.140625" bestFit="1" customWidth="1"/>
    <col min="13828" max="13828" width="27.28515625" bestFit="1" customWidth="1"/>
    <col min="13829" max="13830" width="6.7109375" bestFit="1" customWidth="1"/>
    <col min="13831" max="13831" width="7.28515625" bestFit="1" customWidth="1"/>
    <col min="13832" max="13834" width="6.7109375" bestFit="1" customWidth="1"/>
    <col min="13835" max="13835" width="8.42578125" bestFit="1" customWidth="1"/>
    <col min="13836" max="13836" width="6" customWidth="1"/>
    <col min="13837" max="13837" width="5.85546875" customWidth="1"/>
    <col min="13839" max="13839" width="15.5703125" bestFit="1" customWidth="1"/>
    <col min="14081" max="14081" width="5.85546875" customWidth="1"/>
    <col min="14082" max="14082" width="32.5703125" bestFit="1" customWidth="1"/>
    <col min="14083" max="14083" width="15.140625" bestFit="1" customWidth="1"/>
    <col min="14084" max="14084" width="27.28515625" bestFit="1" customWidth="1"/>
    <col min="14085" max="14086" width="6.7109375" bestFit="1" customWidth="1"/>
    <col min="14087" max="14087" width="7.28515625" bestFit="1" customWidth="1"/>
    <col min="14088" max="14090" width="6.7109375" bestFit="1" customWidth="1"/>
    <col min="14091" max="14091" width="8.42578125" bestFit="1" customWidth="1"/>
    <col min="14092" max="14092" width="6" customWidth="1"/>
    <col min="14093" max="14093" width="5.85546875" customWidth="1"/>
    <col min="14095" max="14095" width="15.5703125" bestFit="1" customWidth="1"/>
    <col min="14337" max="14337" width="5.85546875" customWidth="1"/>
    <col min="14338" max="14338" width="32.5703125" bestFit="1" customWidth="1"/>
    <col min="14339" max="14339" width="15.140625" bestFit="1" customWidth="1"/>
    <col min="14340" max="14340" width="27.28515625" bestFit="1" customWidth="1"/>
    <col min="14341" max="14342" width="6.7109375" bestFit="1" customWidth="1"/>
    <col min="14343" max="14343" width="7.28515625" bestFit="1" customWidth="1"/>
    <col min="14344" max="14346" width="6.7109375" bestFit="1" customWidth="1"/>
    <col min="14347" max="14347" width="8.42578125" bestFit="1" customWidth="1"/>
    <col min="14348" max="14348" width="6" customWidth="1"/>
    <col min="14349" max="14349" width="5.85546875" customWidth="1"/>
    <col min="14351" max="14351" width="15.5703125" bestFit="1" customWidth="1"/>
    <col min="14593" max="14593" width="5.85546875" customWidth="1"/>
    <col min="14594" max="14594" width="32.5703125" bestFit="1" customWidth="1"/>
    <col min="14595" max="14595" width="15.140625" bestFit="1" customWidth="1"/>
    <col min="14596" max="14596" width="27.28515625" bestFit="1" customWidth="1"/>
    <col min="14597" max="14598" width="6.7109375" bestFit="1" customWidth="1"/>
    <col min="14599" max="14599" width="7.28515625" bestFit="1" customWidth="1"/>
    <col min="14600" max="14602" width="6.7109375" bestFit="1" customWidth="1"/>
    <col min="14603" max="14603" width="8.42578125" bestFit="1" customWidth="1"/>
    <col min="14604" max="14604" width="6" customWidth="1"/>
    <col min="14605" max="14605" width="5.85546875" customWidth="1"/>
    <col min="14607" max="14607" width="15.5703125" bestFit="1" customWidth="1"/>
    <col min="14849" max="14849" width="5.85546875" customWidth="1"/>
    <col min="14850" max="14850" width="32.5703125" bestFit="1" customWidth="1"/>
    <col min="14851" max="14851" width="15.140625" bestFit="1" customWidth="1"/>
    <col min="14852" max="14852" width="27.28515625" bestFit="1" customWidth="1"/>
    <col min="14853" max="14854" width="6.7109375" bestFit="1" customWidth="1"/>
    <col min="14855" max="14855" width="7.28515625" bestFit="1" customWidth="1"/>
    <col min="14856" max="14858" width="6.7109375" bestFit="1" customWidth="1"/>
    <col min="14859" max="14859" width="8.42578125" bestFit="1" customWidth="1"/>
    <col min="14860" max="14860" width="6" customWidth="1"/>
    <col min="14861" max="14861" width="5.85546875" customWidth="1"/>
    <col min="14863" max="14863" width="15.5703125" bestFit="1" customWidth="1"/>
    <col min="15105" max="15105" width="5.85546875" customWidth="1"/>
    <col min="15106" max="15106" width="32.5703125" bestFit="1" customWidth="1"/>
    <col min="15107" max="15107" width="15.140625" bestFit="1" customWidth="1"/>
    <col min="15108" max="15108" width="27.28515625" bestFit="1" customWidth="1"/>
    <col min="15109" max="15110" width="6.7109375" bestFit="1" customWidth="1"/>
    <col min="15111" max="15111" width="7.28515625" bestFit="1" customWidth="1"/>
    <col min="15112" max="15114" width="6.7109375" bestFit="1" customWidth="1"/>
    <col min="15115" max="15115" width="8.42578125" bestFit="1" customWidth="1"/>
    <col min="15116" max="15116" width="6" customWidth="1"/>
    <col min="15117" max="15117" width="5.85546875" customWidth="1"/>
    <col min="15119" max="15119" width="15.5703125" bestFit="1" customWidth="1"/>
    <col min="15361" max="15361" width="5.85546875" customWidth="1"/>
    <col min="15362" max="15362" width="32.5703125" bestFit="1" customWidth="1"/>
    <col min="15363" max="15363" width="15.140625" bestFit="1" customWidth="1"/>
    <col min="15364" max="15364" width="27.28515625" bestFit="1" customWidth="1"/>
    <col min="15365" max="15366" width="6.7109375" bestFit="1" customWidth="1"/>
    <col min="15367" max="15367" width="7.28515625" bestFit="1" customWidth="1"/>
    <col min="15368" max="15370" width="6.7109375" bestFit="1" customWidth="1"/>
    <col min="15371" max="15371" width="8.42578125" bestFit="1" customWidth="1"/>
    <col min="15372" max="15372" width="6" customWidth="1"/>
    <col min="15373" max="15373" width="5.85546875" customWidth="1"/>
    <col min="15375" max="15375" width="15.5703125" bestFit="1" customWidth="1"/>
    <col min="15617" max="15617" width="5.85546875" customWidth="1"/>
    <col min="15618" max="15618" width="32.5703125" bestFit="1" customWidth="1"/>
    <col min="15619" max="15619" width="15.140625" bestFit="1" customWidth="1"/>
    <col min="15620" max="15620" width="27.28515625" bestFit="1" customWidth="1"/>
    <col min="15621" max="15622" width="6.7109375" bestFit="1" customWidth="1"/>
    <col min="15623" max="15623" width="7.28515625" bestFit="1" customWidth="1"/>
    <col min="15624" max="15626" width="6.7109375" bestFit="1" customWidth="1"/>
    <col min="15627" max="15627" width="8.42578125" bestFit="1" customWidth="1"/>
    <col min="15628" max="15628" width="6" customWidth="1"/>
    <col min="15629" max="15629" width="5.85546875" customWidth="1"/>
    <col min="15631" max="15631" width="15.5703125" bestFit="1" customWidth="1"/>
    <col min="15873" max="15873" width="5.85546875" customWidth="1"/>
    <col min="15874" max="15874" width="32.5703125" bestFit="1" customWidth="1"/>
    <col min="15875" max="15875" width="15.140625" bestFit="1" customWidth="1"/>
    <col min="15876" max="15876" width="27.28515625" bestFit="1" customWidth="1"/>
    <col min="15877" max="15878" width="6.7109375" bestFit="1" customWidth="1"/>
    <col min="15879" max="15879" width="7.28515625" bestFit="1" customWidth="1"/>
    <col min="15880" max="15882" width="6.7109375" bestFit="1" customWidth="1"/>
    <col min="15883" max="15883" width="8.42578125" bestFit="1" customWidth="1"/>
    <col min="15884" max="15884" width="6" customWidth="1"/>
    <col min="15885" max="15885" width="5.85546875" customWidth="1"/>
    <col min="15887" max="15887" width="15.5703125" bestFit="1" customWidth="1"/>
    <col min="16129" max="16129" width="5.85546875" customWidth="1"/>
    <col min="16130" max="16130" width="32.5703125" bestFit="1" customWidth="1"/>
    <col min="16131" max="16131" width="15.140625" bestFit="1" customWidth="1"/>
    <col min="16132" max="16132" width="27.28515625" bestFit="1" customWidth="1"/>
    <col min="16133" max="16134" width="6.7109375" bestFit="1" customWidth="1"/>
    <col min="16135" max="16135" width="7.28515625" bestFit="1" customWidth="1"/>
    <col min="16136" max="16138" width="6.7109375" bestFit="1" customWidth="1"/>
    <col min="16139" max="16139" width="8.42578125" bestFit="1" customWidth="1"/>
    <col min="16140" max="16140" width="6" customWidth="1"/>
    <col min="16141" max="16141" width="5.85546875" customWidth="1"/>
    <col min="16143" max="16143" width="15.5703125" bestFit="1" customWidth="1"/>
  </cols>
  <sheetData>
    <row r="1" spans="1:17" ht="23.25">
      <c r="A1" s="77" t="s">
        <v>1538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17" ht="20.25">
      <c r="A2" s="78" t="s">
        <v>1539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9"/>
      <c r="O2" s="10"/>
      <c r="P2" s="11"/>
      <c r="Q2" s="11"/>
    </row>
    <row r="3" spans="1:17" ht="12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3"/>
      <c r="O3" s="13"/>
    </row>
    <row r="4" spans="1:17" ht="20.25">
      <c r="A4" s="14" t="s">
        <v>1540</v>
      </c>
      <c r="B4" s="15" t="s">
        <v>1541</v>
      </c>
      <c r="C4" s="15" t="s">
        <v>1542</v>
      </c>
      <c r="D4" s="15" t="s">
        <v>1543</v>
      </c>
      <c r="E4" s="14" t="s">
        <v>1544</v>
      </c>
      <c r="F4" s="14" t="s">
        <v>1545</v>
      </c>
      <c r="G4" s="14" t="s">
        <v>1546</v>
      </c>
      <c r="H4" s="14" t="s">
        <v>1547</v>
      </c>
      <c r="I4" s="14" t="s">
        <v>1548</v>
      </c>
      <c r="J4" s="14" t="s">
        <v>1549</v>
      </c>
      <c r="K4" s="16" t="s">
        <v>1550</v>
      </c>
      <c r="L4" s="13"/>
    </row>
    <row r="5" spans="1:17" ht="12" customHeight="1" thickBot="1">
      <c r="A5" s="12"/>
      <c r="B5" s="17"/>
      <c r="C5" s="17"/>
      <c r="D5" s="17"/>
      <c r="E5" s="12"/>
      <c r="F5" s="12"/>
      <c r="G5" s="12"/>
      <c r="H5" s="12"/>
      <c r="I5" s="12"/>
      <c r="J5" s="12"/>
      <c r="K5" s="13"/>
      <c r="L5" s="13"/>
    </row>
    <row r="6" spans="1:17" ht="21" thickBot="1">
      <c r="A6" s="18">
        <v>1</v>
      </c>
      <c r="B6" s="19" t="s">
        <v>784</v>
      </c>
      <c r="C6" s="20" t="s">
        <v>160</v>
      </c>
      <c r="D6" s="20" t="s">
        <v>827</v>
      </c>
      <c r="E6" s="21">
        <v>278</v>
      </c>
      <c r="F6" s="21">
        <v>197</v>
      </c>
      <c r="G6" s="21">
        <v>255</v>
      </c>
      <c r="H6" s="22">
        <v>229</v>
      </c>
      <c r="I6" s="21">
        <v>173</v>
      </c>
      <c r="J6" s="21">
        <v>255</v>
      </c>
      <c r="K6" s="23">
        <f t="shared" ref="K6:K69" si="0">SUM(E6:J6)</f>
        <v>1387</v>
      </c>
      <c r="L6" s="13"/>
    </row>
    <row r="7" spans="1:17" ht="21" thickBot="1">
      <c r="A7" s="18">
        <f>A6+1</f>
        <v>2</v>
      </c>
      <c r="B7" s="24" t="s">
        <v>299</v>
      </c>
      <c r="C7" s="25" t="s">
        <v>317</v>
      </c>
      <c r="D7" s="25" t="s">
        <v>304</v>
      </c>
      <c r="E7" s="26">
        <v>240</v>
      </c>
      <c r="F7" s="26">
        <v>185</v>
      </c>
      <c r="G7" s="26">
        <v>254</v>
      </c>
      <c r="H7" s="27">
        <v>216</v>
      </c>
      <c r="I7" s="26">
        <v>221</v>
      </c>
      <c r="J7" s="26">
        <v>237</v>
      </c>
      <c r="K7" s="23">
        <f t="shared" si="0"/>
        <v>1353</v>
      </c>
      <c r="L7" s="13"/>
    </row>
    <row r="8" spans="1:17" ht="21" thickBot="1">
      <c r="A8" s="18">
        <f t="shared" ref="A8:A71" si="1">A7+1</f>
        <v>3</v>
      </c>
      <c r="B8" s="24" t="s">
        <v>23</v>
      </c>
      <c r="C8" s="25" t="s">
        <v>623</v>
      </c>
      <c r="D8" s="25" t="s">
        <v>763</v>
      </c>
      <c r="E8" s="26">
        <v>228</v>
      </c>
      <c r="F8" s="26">
        <v>248</v>
      </c>
      <c r="G8" s="26">
        <v>213</v>
      </c>
      <c r="H8" s="27">
        <v>234</v>
      </c>
      <c r="I8" s="26">
        <v>218</v>
      </c>
      <c r="J8" s="26">
        <v>212</v>
      </c>
      <c r="K8" s="23">
        <f t="shared" si="0"/>
        <v>1353</v>
      </c>
      <c r="L8" s="13"/>
    </row>
    <row r="9" spans="1:17" ht="21" thickBot="1">
      <c r="A9" s="18">
        <f t="shared" si="1"/>
        <v>4</v>
      </c>
      <c r="B9" s="28" t="s">
        <v>45</v>
      </c>
      <c r="C9" s="29" t="s">
        <v>577</v>
      </c>
      <c r="D9" s="29" t="s">
        <v>575</v>
      </c>
      <c r="E9" s="30">
        <v>175</v>
      </c>
      <c r="F9" s="30">
        <v>201</v>
      </c>
      <c r="G9" s="30">
        <v>201</v>
      </c>
      <c r="H9" s="31">
        <v>278</v>
      </c>
      <c r="I9" s="30">
        <v>233</v>
      </c>
      <c r="J9" s="30">
        <v>247</v>
      </c>
      <c r="K9" s="23">
        <f t="shared" si="0"/>
        <v>1335</v>
      </c>
      <c r="L9" s="13"/>
    </row>
    <row r="10" spans="1:17" ht="21" thickBot="1">
      <c r="A10" s="18">
        <f t="shared" si="1"/>
        <v>5</v>
      </c>
      <c r="B10" s="32" t="s">
        <v>888</v>
      </c>
      <c r="C10" s="33" t="s">
        <v>889</v>
      </c>
      <c r="D10" s="33" t="s">
        <v>883</v>
      </c>
      <c r="E10" s="30">
        <v>256</v>
      </c>
      <c r="F10" s="30">
        <v>185</v>
      </c>
      <c r="G10" s="30">
        <v>202</v>
      </c>
      <c r="H10" s="31">
        <v>239</v>
      </c>
      <c r="I10" s="30">
        <v>237</v>
      </c>
      <c r="J10" s="30">
        <v>214</v>
      </c>
      <c r="K10" s="23">
        <f t="shared" si="0"/>
        <v>1333</v>
      </c>
      <c r="L10" s="13"/>
    </row>
    <row r="11" spans="1:17" ht="21" thickBot="1">
      <c r="A11" s="18">
        <f t="shared" si="1"/>
        <v>6</v>
      </c>
      <c r="B11" s="32" t="s">
        <v>66</v>
      </c>
      <c r="C11" s="33" t="s">
        <v>458</v>
      </c>
      <c r="D11" s="33" t="s">
        <v>452</v>
      </c>
      <c r="E11" s="30">
        <v>214</v>
      </c>
      <c r="F11" s="30">
        <v>202</v>
      </c>
      <c r="G11" s="30">
        <v>215</v>
      </c>
      <c r="H11" s="31">
        <v>225</v>
      </c>
      <c r="I11" s="30">
        <v>229</v>
      </c>
      <c r="J11" s="30">
        <v>246</v>
      </c>
      <c r="K11" s="23">
        <f t="shared" si="0"/>
        <v>1331</v>
      </c>
      <c r="L11" s="13"/>
    </row>
    <row r="12" spans="1:17" ht="21" thickBot="1">
      <c r="A12" s="18">
        <f t="shared" si="1"/>
        <v>7</v>
      </c>
      <c r="B12" s="32" t="s">
        <v>59</v>
      </c>
      <c r="C12" s="33" t="s">
        <v>424</v>
      </c>
      <c r="D12" s="33" t="s">
        <v>413</v>
      </c>
      <c r="E12" s="30">
        <v>175</v>
      </c>
      <c r="F12" s="30">
        <v>186</v>
      </c>
      <c r="G12" s="30">
        <v>247</v>
      </c>
      <c r="H12" s="31">
        <v>235</v>
      </c>
      <c r="I12" s="30">
        <v>237</v>
      </c>
      <c r="J12" s="30">
        <v>248</v>
      </c>
      <c r="K12" s="23">
        <f t="shared" si="0"/>
        <v>1328</v>
      </c>
      <c r="L12" s="13"/>
    </row>
    <row r="13" spans="1:17" ht="21" thickBot="1">
      <c r="A13" s="18">
        <f t="shared" si="1"/>
        <v>8</v>
      </c>
      <c r="B13" s="32" t="s">
        <v>36</v>
      </c>
      <c r="C13" s="33" t="s">
        <v>419</v>
      </c>
      <c r="D13" s="33" t="s">
        <v>413</v>
      </c>
      <c r="E13" s="30">
        <v>211</v>
      </c>
      <c r="F13" s="30">
        <v>240</v>
      </c>
      <c r="G13" s="30">
        <v>185</v>
      </c>
      <c r="H13" s="31">
        <v>234</v>
      </c>
      <c r="I13" s="30">
        <v>235</v>
      </c>
      <c r="J13" s="30">
        <v>215</v>
      </c>
      <c r="K13" s="23">
        <f t="shared" si="0"/>
        <v>1320</v>
      </c>
      <c r="L13" s="34"/>
    </row>
    <row r="14" spans="1:17" ht="21" thickBot="1">
      <c r="A14" s="18">
        <f t="shared" si="1"/>
        <v>9</v>
      </c>
      <c r="B14" s="28" t="s">
        <v>465</v>
      </c>
      <c r="C14" s="29" t="s">
        <v>466</v>
      </c>
      <c r="D14" s="29" t="s">
        <v>464</v>
      </c>
      <c r="E14" s="30">
        <v>193</v>
      </c>
      <c r="F14" s="30">
        <v>228</v>
      </c>
      <c r="G14" s="30">
        <v>211</v>
      </c>
      <c r="H14" s="31">
        <v>196</v>
      </c>
      <c r="I14" s="30">
        <v>246</v>
      </c>
      <c r="J14" s="30">
        <v>243</v>
      </c>
      <c r="K14" s="23">
        <f t="shared" si="0"/>
        <v>1317</v>
      </c>
      <c r="L14" s="13"/>
    </row>
    <row r="15" spans="1:17" ht="21" thickBot="1">
      <c r="A15" s="18">
        <f t="shared" si="1"/>
        <v>10</v>
      </c>
      <c r="B15" s="32" t="s">
        <v>445</v>
      </c>
      <c r="C15" s="33" t="s">
        <v>446</v>
      </c>
      <c r="D15" s="33" t="s">
        <v>438</v>
      </c>
      <c r="E15" s="30">
        <v>231</v>
      </c>
      <c r="F15" s="30">
        <v>188</v>
      </c>
      <c r="G15" s="30">
        <v>209</v>
      </c>
      <c r="H15" s="31">
        <v>205</v>
      </c>
      <c r="I15" s="30">
        <v>266</v>
      </c>
      <c r="J15" s="30">
        <v>217</v>
      </c>
      <c r="K15" s="23">
        <f t="shared" si="0"/>
        <v>1316</v>
      </c>
      <c r="L15" s="13"/>
    </row>
    <row r="16" spans="1:17" ht="21" thickBot="1">
      <c r="A16" s="18">
        <f t="shared" si="1"/>
        <v>11</v>
      </c>
      <c r="B16" s="32" t="s">
        <v>170</v>
      </c>
      <c r="C16" s="33" t="s">
        <v>681</v>
      </c>
      <c r="D16" s="33" t="s">
        <v>675</v>
      </c>
      <c r="E16" s="30">
        <v>218</v>
      </c>
      <c r="F16" s="30">
        <v>221</v>
      </c>
      <c r="G16" s="30">
        <v>241</v>
      </c>
      <c r="H16" s="31">
        <v>174</v>
      </c>
      <c r="I16" s="30">
        <v>237</v>
      </c>
      <c r="J16" s="30">
        <v>222</v>
      </c>
      <c r="K16" s="23">
        <f t="shared" si="0"/>
        <v>1313</v>
      </c>
      <c r="L16" s="13"/>
    </row>
    <row r="17" spans="1:14" ht="16.5" thickBot="1">
      <c r="A17" s="18">
        <f t="shared" si="1"/>
        <v>12</v>
      </c>
      <c r="B17" s="32" t="s">
        <v>45</v>
      </c>
      <c r="C17" s="33" t="s">
        <v>884</v>
      </c>
      <c r="D17" s="33" t="s">
        <v>883</v>
      </c>
      <c r="E17" s="30">
        <v>210</v>
      </c>
      <c r="F17" s="30">
        <v>213</v>
      </c>
      <c r="G17" s="30">
        <v>172</v>
      </c>
      <c r="H17" s="31">
        <v>223</v>
      </c>
      <c r="I17" s="30">
        <v>299</v>
      </c>
      <c r="J17" s="30">
        <v>196</v>
      </c>
      <c r="K17" s="23">
        <f t="shared" si="0"/>
        <v>1313</v>
      </c>
    </row>
    <row r="18" spans="1:14" ht="16.5" thickBot="1">
      <c r="A18" s="18">
        <f t="shared" si="1"/>
        <v>13</v>
      </c>
      <c r="B18" s="28" t="s">
        <v>590</v>
      </c>
      <c r="C18" s="29" t="s">
        <v>591</v>
      </c>
      <c r="D18" s="29" t="s">
        <v>584</v>
      </c>
      <c r="E18" s="30">
        <v>212</v>
      </c>
      <c r="F18" s="30">
        <v>207</v>
      </c>
      <c r="G18" s="30">
        <v>196</v>
      </c>
      <c r="H18" s="31">
        <v>190</v>
      </c>
      <c r="I18" s="30">
        <v>248</v>
      </c>
      <c r="J18" s="30">
        <v>257</v>
      </c>
      <c r="K18" s="23">
        <f t="shared" si="0"/>
        <v>1310</v>
      </c>
    </row>
    <row r="19" spans="1:14" ht="16.5" thickBot="1">
      <c r="A19" s="18">
        <f t="shared" si="1"/>
        <v>14</v>
      </c>
      <c r="B19" s="28" t="s">
        <v>77</v>
      </c>
      <c r="C19" s="29" t="s">
        <v>620</v>
      </c>
      <c r="D19" s="29" t="s">
        <v>617</v>
      </c>
      <c r="E19" s="30">
        <v>170</v>
      </c>
      <c r="F19" s="30">
        <v>177</v>
      </c>
      <c r="G19" s="30">
        <v>232</v>
      </c>
      <c r="H19" s="31">
        <v>233</v>
      </c>
      <c r="I19" s="30">
        <v>192</v>
      </c>
      <c r="J19" s="30">
        <v>298</v>
      </c>
      <c r="K19" s="23">
        <f t="shared" si="0"/>
        <v>1302</v>
      </c>
      <c r="L19" s="35"/>
      <c r="M19" s="35"/>
      <c r="N19" s="35"/>
    </row>
    <row r="20" spans="1:14" ht="16.5" thickBot="1">
      <c r="A20" s="18">
        <f t="shared" si="1"/>
        <v>15</v>
      </c>
      <c r="B20" s="32" t="s">
        <v>420</v>
      </c>
      <c r="C20" s="33" t="s">
        <v>421</v>
      </c>
      <c r="D20" s="33" t="s">
        <v>413</v>
      </c>
      <c r="E20" s="30">
        <v>245</v>
      </c>
      <c r="F20" s="30">
        <v>199</v>
      </c>
      <c r="G20" s="30">
        <v>178</v>
      </c>
      <c r="H20" s="31">
        <v>247</v>
      </c>
      <c r="I20" s="30">
        <v>237</v>
      </c>
      <c r="J20" s="30">
        <v>195</v>
      </c>
      <c r="K20" s="23">
        <f t="shared" si="0"/>
        <v>1301</v>
      </c>
    </row>
    <row r="21" spans="1:14" ht="16.5" thickBot="1">
      <c r="A21" s="18">
        <f t="shared" si="1"/>
        <v>16</v>
      </c>
      <c r="B21" s="28" t="s">
        <v>96</v>
      </c>
      <c r="C21" s="29" t="s">
        <v>97</v>
      </c>
      <c r="D21" s="29" t="s">
        <v>84</v>
      </c>
      <c r="E21" s="30">
        <v>204</v>
      </c>
      <c r="F21" s="30">
        <v>204</v>
      </c>
      <c r="G21" s="30">
        <v>199</v>
      </c>
      <c r="H21" s="31">
        <v>246</v>
      </c>
      <c r="I21" s="30">
        <v>221</v>
      </c>
      <c r="J21" s="30">
        <v>223</v>
      </c>
      <c r="K21" s="23">
        <f t="shared" si="0"/>
        <v>1297</v>
      </c>
    </row>
    <row r="22" spans="1:14" ht="16.5" thickBot="1">
      <c r="A22" s="18">
        <f t="shared" si="1"/>
        <v>17</v>
      </c>
      <c r="B22" s="32" t="s">
        <v>467</v>
      </c>
      <c r="C22" s="33" t="s">
        <v>468</v>
      </c>
      <c r="D22" s="33" t="s">
        <v>464</v>
      </c>
      <c r="E22" s="30">
        <v>222</v>
      </c>
      <c r="F22" s="30">
        <v>198</v>
      </c>
      <c r="G22" s="30">
        <v>174</v>
      </c>
      <c r="H22" s="31">
        <v>248</v>
      </c>
      <c r="I22" s="30">
        <v>236</v>
      </c>
      <c r="J22" s="30">
        <v>214</v>
      </c>
      <c r="K22" s="23">
        <f t="shared" si="0"/>
        <v>1292</v>
      </c>
    </row>
    <row r="23" spans="1:14" ht="16.5" thickBot="1">
      <c r="A23" s="18">
        <f t="shared" si="1"/>
        <v>18</v>
      </c>
      <c r="B23" s="32" t="s">
        <v>453</v>
      </c>
      <c r="C23" s="33" t="s">
        <v>454</v>
      </c>
      <c r="D23" s="33" t="s">
        <v>452</v>
      </c>
      <c r="E23" s="30">
        <v>193</v>
      </c>
      <c r="F23" s="30">
        <v>235</v>
      </c>
      <c r="G23" s="30">
        <v>183</v>
      </c>
      <c r="H23" s="31">
        <v>212</v>
      </c>
      <c r="I23" s="30">
        <v>253</v>
      </c>
      <c r="J23" s="30">
        <v>215</v>
      </c>
      <c r="K23" s="23">
        <f t="shared" si="0"/>
        <v>1291</v>
      </c>
    </row>
    <row r="24" spans="1:14" ht="16.5" thickBot="1">
      <c r="A24" s="18">
        <f t="shared" si="1"/>
        <v>19</v>
      </c>
      <c r="B24" s="32" t="s">
        <v>839</v>
      </c>
      <c r="C24" s="33" t="s">
        <v>374</v>
      </c>
      <c r="D24" s="33" t="s">
        <v>790</v>
      </c>
      <c r="E24" s="30">
        <v>182</v>
      </c>
      <c r="F24" s="30">
        <v>221</v>
      </c>
      <c r="G24" s="30">
        <v>223</v>
      </c>
      <c r="H24" s="31">
        <v>268</v>
      </c>
      <c r="I24" s="30">
        <v>189</v>
      </c>
      <c r="J24" s="30">
        <v>207</v>
      </c>
      <c r="K24" s="23">
        <f t="shared" si="0"/>
        <v>1290</v>
      </c>
    </row>
    <row r="25" spans="1:14" ht="16.5" thickBot="1">
      <c r="A25" s="18">
        <f t="shared" si="1"/>
        <v>20</v>
      </c>
      <c r="B25" s="32" t="s">
        <v>424</v>
      </c>
      <c r="C25" s="33" t="s">
        <v>602</v>
      </c>
      <c r="D25" s="33" t="s">
        <v>594</v>
      </c>
      <c r="E25" s="30">
        <v>225</v>
      </c>
      <c r="F25" s="30">
        <v>169</v>
      </c>
      <c r="G25" s="30">
        <v>157</v>
      </c>
      <c r="H25" s="31">
        <v>215</v>
      </c>
      <c r="I25" s="30">
        <v>300</v>
      </c>
      <c r="J25" s="30">
        <v>223</v>
      </c>
      <c r="K25" s="23">
        <f t="shared" si="0"/>
        <v>1289</v>
      </c>
    </row>
    <row r="26" spans="1:14" ht="16.5" thickBot="1">
      <c r="A26" s="18">
        <f t="shared" si="1"/>
        <v>21</v>
      </c>
      <c r="B26" s="32" t="s">
        <v>831</v>
      </c>
      <c r="C26" s="33" t="s">
        <v>832</v>
      </c>
      <c r="D26" s="33" t="s">
        <v>827</v>
      </c>
      <c r="E26" s="30">
        <v>246</v>
      </c>
      <c r="F26" s="30">
        <v>177</v>
      </c>
      <c r="G26" s="30">
        <v>221</v>
      </c>
      <c r="H26" s="31">
        <v>178</v>
      </c>
      <c r="I26" s="30">
        <v>238</v>
      </c>
      <c r="J26" s="30">
        <v>227</v>
      </c>
      <c r="K26" s="23">
        <f t="shared" si="0"/>
        <v>1287</v>
      </c>
    </row>
    <row r="27" spans="1:14" ht="16.5" thickBot="1">
      <c r="A27" s="18">
        <f t="shared" si="1"/>
        <v>22</v>
      </c>
      <c r="B27" s="36" t="s">
        <v>30</v>
      </c>
      <c r="C27" s="37" t="s">
        <v>820</v>
      </c>
      <c r="D27" s="37" t="s">
        <v>817</v>
      </c>
      <c r="E27" s="30">
        <v>243</v>
      </c>
      <c r="F27" s="30">
        <v>223</v>
      </c>
      <c r="G27" s="30">
        <v>202</v>
      </c>
      <c r="H27" s="31">
        <v>176</v>
      </c>
      <c r="I27" s="30">
        <v>235</v>
      </c>
      <c r="J27" s="30">
        <v>206</v>
      </c>
      <c r="K27" s="23">
        <f t="shared" si="0"/>
        <v>1285</v>
      </c>
    </row>
    <row r="28" spans="1:14" ht="16.5" thickBot="1">
      <c r="A28" s="18">
        <f t="shared" si="1"/>
        <v>23</v>
      </c>
      <c r="B28" s="36" t="s">
        <v>14</v>
      </c>
      <c r="C28" s="37" t="s">
        <v>85</v>
      </c>
      <c r="D28" s="37" t="s">
        <v>84</v>
      </c>
      <c r="E28" s="30">
        <v>247</v>
      </c>
      <c r="F28" s="30">
        <v>185</v>
      </c>
      <c r="G28" s="30">
        <v>184</v>
      </c>
      <c r="H28" s="31">
        <v>233</v>
      </c>
      <c r="I28" s="30">
        <v>245</v>
      </c>
      <c r="J28" s="30">
        <v>183</v>
      </c>
      <c r="K28" s="23">
        <f t="shared" si="0"/>
        <v>1277</v>
      </c>
    </row>
    <row r="29" spans="1:14" ht="16.5" thickBot="1">
      <c r="A29" s="18">
        <f t="shared" si="1"/>
        <v>24</v>
      </c>
      <c r="B29" s="36" t="s">
        <v>313</v>
      </c>
      <c r="C29" s="37" t="s">
        <v>809</v>
      </c>
      <c r="D29" s="37" t="s">
        <v>883</v>
      </c>
      <c r="E29" s="30">
        <v>229</v>
      </c>
      <c r="F29" s="30">
        <v>158</v>
      </c>
      <c r="G29" s="30">
        <v>193</v>
      </c>
      <c r="H29" s="31">
        <v>243</v>
      </c>
      <c r="I29" s="30">
        <v>227</v>
      </c>
      <c r="J29" s="30">
        <v>223</v>
      </c>
      <c r="K29" s="23">
        <f t="shared" si="0"/>
        <v>1273</v>
      </c>
    </row>
    <row r="30" spans="1:14" ht="16.5" thickBot="1">
      <c r="A30" s="18">
        <f t="shared" si="1"/>
        <v>25</v>
      </c>
      <c r="B30" s="36" t="s">
        <v>130</v>
      </c>
      <c r="C30" s="37" t="s">
        <v>766</v>
      </c>
      <c r="D30" s="37" t="s">
        <v>763</v>
      </c>
      <c r="E30" s="30">
        <v>194</v>
      </c>
      <c r="F30" s="30">
        <v>236</v>
      </c>
      <c r="G30" s="30">
        <v>189</v>
      </c>
      <c r="H30" s="31">
        <v>194</v>
      </c>
      <c r="I30" s="30">
        <v>192</v>
      </c>
      <c r="J30" s="30">
        <v>267</v>
      </c>
      <c r="K30" s="23">
        <f t="shared" si="0"/>
        <v>1272</v>
      </c>
    </row>
    <row r="31" spans="1:14" ht="16.5" thickBot="1">
      <c r="A31" s="18">
        <f t="shared" si="1"/>
        <v>26</v>
      </c>
      <c r="B31" s="36" t="s">
        <v>459</v>
      </c>
      <c r="C31" s="37" t="s">
        <v>92</v>
      </c>
      <c r="D31" s="37" t="s">
        <v>452</v>
      </c>
      <c r="E31" s="30">
        <v>230</v>
      </c>
      <c r="F31" s="30">
        <v>212</v>
      </c>
      <c r="G31" s="30">
        <v>180</v>
      </c>
      <c r="H31" s="31">
        <v>207</v>
      </c>
      <c r="I31" s="30">
        <v>240</v>
      </c>
      <c r="J31" s="30">
        <v>201</v>
      </c>
      <c r="K31" s="23">
        <f t="shared" si="0"/>
        <v>1270</v>
      </c>
    </row>
    <row r="32" spans="1:14" ht="16.5" thickBot="1">
      <c r="A32" s="18">
        <f t="shared" si="1"/>
        <v>27</v>
      </c>
      <c r="B32" s="36" t="s">
        <v>293</v>
      </c>
      <c r="C32" s="37" t="s">
        <v>294</v>
      </c>
      <c r="D32" s="37" t="s">
        <v>281</v>
      </c>
      <c r="E32" s="30">
        <v>278</v>
      </c>
      <c r="F32" s="30">
        <v>160</v>
      </c>
      <c r="G32" s="30">
        <v>183</v>
      </c>
      <c r="H32" s="31">
        <v>165</v>
      </c>
      <c r="I32" s="30">
        <v>269</v>
      </c>
      <c r="J32" s="30">
        <v>212</v>
      </c>
      <c r="K32" s="23">
        <f t="shared" si="0"/>
        <v>1267</v>
      </c>
    </row>
    <row r="33" spans="1:11" ht="16.5" thickBot="1">
      <c r="A33" s="18">
        <f t="shared" si="1"/>
        <v>28</v>
      </c>
      <c r="B33" s="36" t="s">
        <v>569</v>
      </c>
      <c r="C33" s="37" t="s">
        <v>619</v>
      </c>
      <c r="D33" s="37" t="s">
        <v>617</v>
      </c>
      <c r="E33" s="30">
        <v>235</v>
      </c>
      <c r="F33" s="30">
        <v>155</v>
      </c>
      <c r="G33" s="30">
        <v>238</v>
      </c>
      <c r="H33" s="31">
        <v>218</v>
      </c>
      <c r="I33" s="30">
        <v>205</v>
      </c>
      <c r="J33" s="30">
        <v>207</v>
      </c>
      <c r="K33" s="23">
        <f t="shared" si="0"/>
        <v>1258</v>
      </c>
    </row>
    <row r="34" spans="1:11" ht="16.5" thickBot="1">
      <c r="A34" s="18">
        <f t="shared" si="1"/>
        <v>29</v>
      </c>
      <c r="B34" s="36" t="s">
        <v>210</v>
      </c>
      <c r="C34" s="37" t="s">
        <v>638</v>
      </c>
      <c r="D34" s="37" t="s">
        <v>636</v>
      </c>
      <c r="E34" s="30">
        <v>164</v>
      </c>
      <c r="F34" s="30">
        <v>229</v>
      </c>
      <c r="G34" s="30">
        <v>200</v>
      </c>
      <c r="H34" s="31">
        <v>210</v>
      </c>
      <c r="I34" s="30">
        <v>192</v>
      </c>
      <c r="J34" s="30">
        <v>257</v>
      </c>
      <c r="K34" s="23">
        <f t="shared" si="0"/>
        <v>1252</v>
      </c>
    </row>
    <row r="35" spans="1:11" ht="16.5" thickBot="1">
      <c r="A35" s="18">
        <f t="shared" si="1"/>
        <v>30</v>
      </c>
      <c r="B35" s="36" t="s">
        <v>754</v>
      </c>
      <c r="C35" s="37" t="s">
        <v>755</v>
      </c>
      <c r="D35" s="37" t="s">
        <v>751</v>
      </c>
      <c r="E35" s="30">
        <v>224</v>
      </c>
      <c r="F35" s="30">
        <v>224</v>
      </c>
      <c r="G35" s="30">
        <v>225</v>
      </c>
      <c r="H35" s="31">
        <v>234</v>
      </c>
      <c r="I35" s="30">
        <v>165</v>
      </c>
      <c r="J35" s="30">
        <v>178</v>
      </c>
      <c r="K35" s="23">
        <f t="shared" si="0"/>
        <v>1250</v>
      </c>
    </row>
    <row r="36" spans="1:11" ht="16.5" thickBot="1">
      <c r="A36" s="18">
        <f t="shared" si="1"/>
        <v>31</v>
      </c>
      <c r="B36" s="36" t="s">
        <v>130</v>
      </c>
      <c r="C36" s="37" t="s">
        <v>238</v>
      </c>
      <c r="D36" s="37" t="s">
        <v>231</v>
      </c>
      <c r="E36" s="38">
        <v>239</v>
      </c>
      <c r="F36" s="38">
        <v>200</v>
      </c>
      <c r="G36" s="38">
        <v>205</v>
      </c>
      <c r="H36" s="31">
        <v>183</v>
      </c>
      <c r="I36" s="38">
        <v>236</v>
      </c>
      <c r="J36" s="38">
        <v>184</v>
      </c>
      <c r="K36" s="23">
        <f t="shared" si="0"/>
        <v>1247</v>
      </c>
    </row>
    <row r="37" spans="1:11" ht="16.5" thickBot="1">
      <c r="A37" s="18">
        <f t="shared" si="1"/>
        <v>32</v>
      </c>
      <c r="B37" s="36" t="s">
        <v>99</v>
      </c>
      <c r="C37" s="37" t="s">
        <v>680</v>
      </c>
      <c r="D37" s="37" t="s">
        <v>675</v>
      </c>
      <c r="E37" s="38">
        <v>195</v>
      </c>
      <c r="F37" s="38">
        <v>246</v>
      </c>
      <c r="G37" s="38">
        <v>195</v>
      </c>
      <c r="H37" s="31">
        <v>214</v>
      </c>
      <c r="I37" s="38">
        <v>224</v>
      </c>
      <c r="J37" s="38">
        <v>170</v>
      </c>
      <c r="K37" s="23">
        <f t="shared" si="0"/>
        <v>1244</v>
      </c>
    </row>
    <row r="38" spans="1:11" ht="16.5" thickBot="1">
      <c r="A38" s="18">
        <f t="shared" si="1"/>
        <v>33</v>
      </c>
      <c r="B38" s="36" t="s">
        <v>23</v>
      </c>
      <c r="C38" s="37" t="s">
        <v>222</v>
      </c>
      <c r="D38" s="37" t="s">
        <v>220</v>
      </c>
      <c r="E38" s="38">
        <v>172</v>
      </c>
      <c r="F38" s="38">
        <v>202</v>
      </c>
      <c r="G38" s="38">
        <v>211</v>
      </c>
      <c r="H38" s="31">
        <v>200</v>
      </c>
      <c r="I38" s="38">
        <v>234</v>
      </c>
      <c r="J38" s="38">
        <v>223</v>
      </c>
      <c r="K38" s="23">
        <f t="shared" si="0"/>
        <v>1242</v>
      </c>
    </row>
    <row r="39" spans="1:11" ht="16.5" thickBot="1">
      <c r="A39" s="18">
        <f t="shared" si="1"/>
        <v>34</v>
      </c>
      <c r="B39" s="36" t="s">
        <v>299</v>
      </c>
      <c r="C39" s="37" t="s">
        <v>515</v>
      </c>
      <c r="D39" s="37" t="s">
        <v>514</v>
      </c>
      <c r="E39" s="38">
        <v>205</v>
      </c>
      <c r="F39" s="38">
        <v>205</v>
      </c>
      <c r="G39" s="38">
        <v>216</v>
      </c>
      <c r="H39" s="31">
        <v>201</v>
      </c>
      <c r="I39" s="38">
        <v>191</v>
      </c>
      <c r="J39" s="38">
        <v>220</v>
      </c>
      <c r="K39" s="23">
        <f t="shared" si="0"/>
        <v>1238</v>
      </c>
    </row>
    <row r="40" spans="1:11" ht="16.5" thickBot="1">
      <c r="A40" s="18">
        <f t="shared" si="1"/>
        <v>35</v>
      </c>
      <c r="B40" s="36" t="s">
        <v>174</v>
      </c>
      <c r="C40" s="37" t="s">
        <v>175</v>
      </c>
      <c r="D40" s="37" t="s">
        <v>167</v>
      </c>
      <c r="E40" s="38">
        <v>266</v>
      </c>
      <c r="F40" s="38">
        <v>135</v>
      </c>
      <c r="G40" s="38">
        <v>175</v>
      </c>
      <c r="H40" s="31">
        <v>256</v>
      </c>
      <c r="I40" s="38">
        <v>215</v>
      </c>
      <c r="J40" s="38">
        <v>186</v>
      </c>
      <c r="K40" s="23">
        <f t="shared" si="0"/>
        <v>1233</v>
      </c>
    </row>
    <row r="41" spans="1:11" ht="16.5" thickBot="1">
      <c r="A41" s="18">
        <f t="shared" si="1"/>
        <v>36</v>
      </c>
      <c r="B41" s="36" t="s">
        <v>429</v>
      </c>
      <c r="C41" s="37" t="s">
        <v>430</v>
      </c>
      <c r="D41" s="37" t="s">
        <v>425</v>
      </c>
      <c r="E41" s="38">
        <v>203</v>
      </c>
      <c r="F41" s="38">
        <v>170</v>
      </c>
      <c r="G41" s="38">
        <v>199</v>
      </c>
      <c r="H41" s="31">
        <v>185</v>
      </c>
      <c r="I41" s="38">
        <v>208</v>
      </c>
      <c r="J41" s="38">
        <v>265</v>
      </c>
      <c r="K41" s="23">
        <f t="shared" si="0"/>
        <v>1230</v>
      </c>
    </row>
    <row r="42" spans="1:11" ht="16.5" thickBot="1">
      <c r="A42" s="18">
        <f t="shared" si="1"/>
        <v>37</v>
      </c>
      <c r="B42" s="36" t="s">
        <v>473</v>
      </c>
      <c r="C42" s="37" t="s">
        <v>633</v>
      </c>
      <c r="D42" s="37" t="s">
        <v>626</v>
      </c>
      <c r="E42" s="38">
        <v>257</v>
      </c>
      <c r="F42" s="38">
        <v>190</v>
      </c>
      <c r="G42" s="38">
        <v>177</v>
      </c>
      <c r="H42" s="31">
        <v>247</v>
      </c>
      <c r="I42" s="38">
        <v>194</v>
      </c>
      <c r="J42" s="38">
        <v>161</v>
      </c>
      <c r="K42" s="23">
        <f t="shared" si="0"/>
        <v>1226</v>
      </c>
    </row>
    <row r="43" spans="1:11" ht="16.5" thickBot="1">
      <c r="A43" s="18">
        <f t="shared" si="1"/>
        <v>38</v>
      </c>
      <c r="B43" s="36" t="s">
        <v>16</v>
      </c>
      <c r="C43" s="37" t="s">
        <v>17</v>
      </c>
      <c r="D43" s="37" t="s">
        <v>13</v>
      </c>
      <c r="E43" s="38">
        <v>171</v>
      </c>
      <c r="F43" s="38">
        <v>174</v>
      </c>
      <c r="G43" s="38">
        <v>243</v>
      </c>
      <c r="H43" s="31">
        <v>206</v>
      </c>
      <c r="I43" s="38">
        <v>232</v>
      </c>
      <c r="J43" s="38">
        <v>199</v>
      </c>
      <c r="K43" s="23">
        <f t="shared" si="0"/>
        <v>1225</v>
      </c>
    </row>
    <row r="44" spans="1:11" ht="16.5" thickBot="1">
      <c r="A44" s="18">
        <f t="shared" si="1"/>
        <v>39</v>
      </c>
      <c r="B44" s="36" t="s">
        <v>199</v>
      </c>
      <c r="C44" s="37" t="s">
        <v>777</v>
      </c>
      <c r="D44" s="37" t="s">
        <v>772</v>
      </c>
      <c r="E44" s="38">
        <v>207</v>
      </c>
      <c r="F44" s="38">
        <v>181</v>
      </c>
      <c r="G44" s="38">
        <v>228</v>
      </c>
      <c r="H44" s="31">
        <v>188</v>
      </c>
      <c r="I44" s="38">
        <v>221</v>
      </c>
      <c r="J44" s="38">
        <v>199</v>
      </c>
      <c r="K44" s="23">
        <f t="shared" si="0"/>
        <v>1224</v>
      </c>
    </row>
    <row r="45" spans="1:11" ht="16.5" thickBot="1">
      <c r="A45" s="18">
        <f t="shared" si="1"/>
        <v>40</v>
      </c>
      <c r="B45" s="37" t="s">
        <v>315</v>
      </c>
      <c r="C45" s="37" t="s">
        <v>316</v>
      </c>
      <c r="D45" s="36" t="s">
        <v>304</v>
      </c>
      <c r="E45" s="38">
        <v>169</v>
      </c>
      <c r="F45" s="38">
        <v>182</v>
      </c>
      <c r="G45" s="38">
        <v>209</v>
      </c>
      <c r="H45" s="31">
        <v>190</v>
      </c>
      <c r="I45" s="38">
        <v>238</v>
      </c>
      <c r="J45" s="38">
        <v>233</v>
      </c>
      <c r="K45" s="23">
        <f t="shared" si="0"/>
        <v>1221</v>
      </c>
    </row>
    <row r="46" spans="1:11" ht="16.5" thickBot="1">
      <c r="A46" s="18">
        <f t="shared" si="1"/>
        <v>41</v>
      </c>
      <c r="B46" s="37" t="s">
        <v>32</v>
      </c>
      <c r="C46" s="37" t="s">
        <v>879</v>
      </c>
      <c r="D46" s="36" t="s">
        <v>875</v>
      </c>
      <c r="E46" s="38">
        <v>203</v>
      </c>
      <c r="F46" s="38">
        <v>199</v>
      </c>
      <c r="G46" s="38">
        <v>201</v>
      </c>
      <c r="H46" s="31">
        <v>189</v>
      </c>
      <c r="I46" s="38">
        <v>223</v>
      </c>
      <c r="J46" s="38">
        <v>206</v>
      </c>
      <c r="K46" s="23">
        <f t="shared" si="0"/>
        <v>1221</v>
      </c>
    </row>
    <row r="47" spans="1:11" ht="16.5" thickBot="1">
      <c r="A47" s="18">
        <f t="shared" si="1"/>
        <v>42</v>
      </c>
      <c r="B47" s="37" t="s">
        <v>79</v>
      </c>
      <c r="C47" s="37" t="s">
        <v>80</v>
      </c>
      <c r="D47" s="36" t="s">
        <v>74</v>
      </c>
      <c r="E47" s="38">
        <v>194</v>
      </c>
      <c r="F47" s="38">
        <v>158</v>
      </c>
      <c r="G47" s="38">
        <v>223</v>
      </c>
      <c r="H47" s="31">
        <v>237</v>
      </c>
      <c r="I47" s="38">
        <v>204</v>
      </c>
      <c r="J47" s="38">
        <v>204</v>
      </c>
      <c r="K47" s="23">
        <f t="shared" si="0"/>
        <v>1220</v>
      </c>
    </row>
    <row r="48" spans="1:11" ht="16.5" thickBot="1">
      <c r="A48" s="18">
        <f t="shared" si="1"/>
        <v>43</v>
      </c>
      <c r="B48" s="37" t="s">
        <v>49</v>
      </c>
      <c r="C48" s="37" t="s">
        <v>343</v>
      </c>
      <c r="D48" s="36" t="s">
        <v>342</v>
      </c>
      <c r="E48" s="38">
        <v>150</v>
      </c>
      <c r="F48" s="38">
        <v>171</v>
      </c>
      <c r="G48" s="38">
        <v>226</v>
      </c>
      <c r="H48" s="31">
        <v>236</v>
      </c>
      <c r="I48" s="38">
        <v>222</v>
      </c>
      <c r="J48" s="38">
        <v>215</v>
      </c>
      <c r="K48" s="23">
        <f t="shared" si="0"/>
        <v>1220</v>
      </c>
    </row>
    <row r="49" spans="1:11" ht="16.5" thickBot="1">
      <c r="A49" s="18">
        <f t="shared" si="1"/>
        <v>44</v>
      </c>
      <c r="B49" s="37" t="s">
        <v>836</v>
      </c>
      <c r="C49" s="37" t="s">
        <v>837</v>
      </c>
      <c r="D49" s="36" t="s">
        <v>827</v>
      </c>
      <c r="E49" s="38">
        <v>200</v>
      </c>
      <c r="F49" s="38">
        <v>168</v>
      </c>
      <c r="G49" s="38">
        <v>179</v>
      </c>
      <c r="H49" s="31">
        <v>192</v>
      </c>
      <c r="I49" s="38">
        <v>234</v>
      </c>
      <c r="J49" s="38">
        <v>247</v>
      </c>
      <c r="K49" s="23">
        <f t="shared" si="0"/>
        <v>1220</v>
      </c>
    </row>
    <row r="50" spans="1:11" ht="16.5" thickBot="1">
      <c r="A50" s="18">
        <f t="shared" si="1"/>
        <v>45</v>
      </c>
      <c r="B50" s="37" t="s">
        <v>286</v>
      </c>
      <c r="C50" s="37" t="s">
        <v>48</v>
      </c>
      <c r="D50" s="36" t="s">
        <v>295</v>
      </c>
      <c r="E50" s="38">
        <v>191</v>
      </c>
      <c r="F50" s="38">
        <v>177</v>
      </c>
      <c r="G50" s="38">
        <v>214</v>
      </c>
      <c r="H50" s="31">
        <v>240</v>
      </c>
      <c r="I50" s="38">
        <v>198</v>
      </c>
      <c r="J50" s="38">
        <v>198</v>
      </c>
      <c r="K50" s="23">
        <f t="shared" si="0"/>
        <v>1218</v>
      </c>
    </row>
    <row r="51" spans="1:11" ht="16.5" thickBot="1">
      <c r="A51" s="18">
        <f t="shared" si="1"/>
        <v>46</v>
      </c>
      <c r="B51" s="37" t="s">
        <v>656</v>
      </c>
      <c r="C51" s="37" t="s">
        <v>657</v>
      </c>
      <c r="D51" s="36" t="s">
        <v>654</v>
      </c>
      <c r="E51" s="38">
        <v>231</v>
      </c>
      <c r="F51" s="38">
        <v>192</v>
      </c>
      <c r="G51" s="38">
        <v>234</v>
      </c>
      <c r="H51" s="31">
        <v>183</v>
      </c>
      <c r="I51" s="38">
        <v>194</v>
      </c>
      <c r="J51" s="38">
        <v>184</v>
      </c>
      <c r="K51" s="23">
        <f t="shared" si="0"/>
        <v>1218</v>
      </c>
    </row>
    <row r="52" spans="1:11" ht="16.5" thickBot="1">
      <c r="A52" s="18">
        <f t="shared" si="1"/>
        <v>47</v>
      </c>
      <c r="B52" s="37" t="s">
        <v>170</v>
      </c>
      <c r="C52" s="37" t="s">
        <v>609</v>
      </c>
      <c r="D52" s="36" t="s">
        <v>607</v>
      </c>
      <c r="E52" s="38">
        <v>209</v>
      </c>
      <c r="F52" s="38">
        <v>225</v>
      </c>
      <c r="G52" s="38">
        <v>197</v>
      </c>
      <c r="H52" s="31">
        <v>225</v>
      </c>
      <c r="I52" s="38">
        <v>197</v>
      </c>
      <c r="J52" s="38">
        <v>161</v>
      </c>
      <c r="K52" s="23">
        <f t="shared" si="0"/>
        <v>1214</v>
      </c>
    </row>
    <row r="53" spans="1:11" ht="16.5" thickBot="1">
      <c r="A53" s="18">
        <f t="shared" si="1"/>
        <v>48</v>
      </c>
      <c r="B53" s="37" t="s">
        <v>34</v>
      </c>
      <c r="C53" s="37" t="s">
        <v>35</v>
      </c>
      <c r="D53" s="36" t="s">
        <v>27</v>
      </c>
      <c r="E53" s="38">
        <v>158</v>
      </c>
      <c r="F53" s="38">
        <v>175</v>
      </c>
      <c r="G53" s="38">
        <v>235</v>
      </c>
      <c r="H53" s="31">
        <v>194</v>
      </c>
      <c r="I53" s="38">
        <v>224</v>
      </c>
      <c r="J53" s="38">
        <v>227</v>
      </c>
      <c r="K53" s="23">
        <f t="shared" si="0"/>
        <v>1213</v>
      </c>
    </row>
    <row r="54" spans="1:11" ht="16.5" thickBot="1">
      <c r="A54" s="18">
        <f t="shared" si="1"/>
        <v>49</v>
      </c>
      <c r="B54" s="37" t="s">
        <v>111</v>
      </c>
      <c r="C54" s="37" t="s">
        <v>625</v>
      </c>
      <c r="D54" s="36" t="s">
        <v>617</v>
      </c>
      <c r="E54" s="38">
        <v>185</v>
      </c>
      <c r="F54" s="38">
        <v>182</v>
      </c>
      <c r="G54" s="38">
        <v>234</v>
      </c>
      <c r="H54" s="31">
        <v>214</v>
      </c>
      <c r="I54" s="38">
        <v>178</v>
      </c>
      <c r="J54" s="38">
        <v>220</v>
      </c>
      <c r="K54" s="23">
        <f t="shared" si="0"/>
        <v>1213</v>
      </c>
    </row>
    <row r="55" spans="1:11" ht="16.5" thickBot="1">
      <c r="A55" s="18">
        <f t="shared" si="1"/>
        <v>50</v>
      </c>
      <c r="B55" s="37" t="s">
        <v>89</v>
      </c>
      <c r="C55" s="37" t="s">
        <v>697</v>
      </c>
      <c r="D55" s="36" t="s">
        <v>695</v>
      </c>
      <c r="E55" s="38">
        <v>230</v>
      </c>
      <c r="F55" s="38">
        <v>185</v>
      </c>
      <c r="G55" s="38">
        <v>185</v>
      </c>
      <c r="H55" s="31">
        <v>191</v>
      </c>
      <c r="I55" s="38">
        <v>198</v>
      </c>
      <c r="J55" s="38">
        <v>223</v>
      </c>
      <c r="K55" s="23">
        <f t="shared" si="0"/>
        <v>1212</v>
      </c>
    </row>
    <row r="56" spans="1:11" ht="16.5" thickBot="1">
      <c r="A56" s="18">
        <f t="shared" si="1"/>
        <v>51</v>
      </c>
      <c r="B56" s="37" t="s">
        <v>293</v>
      </c>
      <c r="C56" s="37" t="s">
        <v>702</v>
      </c>
      <c r="D56" s="36" t="s">
        <v>695</v>
      </c>
      <c r="E56" s="38">
        <v>198</v>
      </c>
      <c r="F56" s="38">
        <v>180</v>
      </c>
      <c r="G56" s="38">
        <v>219</v>
      </c>
      <c r="H56" s="31">
        <v>194</v>
      </c>
      <c r="I56" s="38">
        <v>216</v>
      </c>
      <c r="J56" s="38">
        <v>205</v>
      </c>
      <c r="K56" s="23">
        <f t="shared" si="0"/>
        <v>1212</v>
      </c>
    </row>
    <row r="57" spans="1:11" ht="16.5" thickBot="1">
      <c r="A57" s="18">
        <f t="shared" si="1"/>
        <v>52</v>
      </c>
      <c r="B57" s="37" t="s">
        <v>598</v>
      </c>
      <c r="C57" s="37" t="s">
        <v>599</v>
      </c>
      <c r="D57" s="36" t="s">
        <v>594</v>
      </c>
      <c r="E57" s="38">
        <v>222</v>
      </c>
      <c r="F57" s="38">
        <v>200</v>
      </c>
      <c r="G57" s="38">
        <v>150</v>
      </c>
      <c r="H57" s="31">
        <v>222</v>
      </c>
      <c r="I57" s="38">
        <v>226</v>
      </c>
      <c r="J57" s="38">
        <v>191</v>
      </c>
      <c r="K57" s="23">
        <f t="shared" si="0"/>
        <v>1211</v>
      </c>
    </row>
    <row r="58" spans="1:11" ht="16.5" thickBot="1">
      <c r="A58" s="18">
        <f t="shared" si="1"/>
        <v>53</v>
      </c>
      <c r="B58" s="37" t="s">
        <v>358</v>
      </c>
      <c r="C58" s="37" t="s">
        <v>693</v>
      </c>
      <c r="D58" s="36" t="s">
        <v>686</v>
      </c>
      <c r="E58" s="38">
        <v>204</v>
      </c>
      <c r="F58" s="38">
        <v>211</v>
      </c>
      <c r="G58" s="38">
        <v>195</v>
      </c>
      <c r="H58" s="31">
        <v>179</v>
      </c>
      <c r="I58" s="38">
        <v>244</v>
      </c>
      <c r="J58" s="38">
        <v>178</v>
      </c>
      <c r="K58" s="23">
        <f t="shared" si="0"/>
        <v>1211</v>
      </c>
    </row>
    <row r="59" spans="1:11" ht="16.5" thickBot="1">
      <c r="A59" s="18">
        <f t="shared" si="1"/>
        <v>54</v>
      </c>
      <c r="B59" s="37" t="s">
        <v>228</v>
      </c>
      <c r="C59" s="37" t="s">
        <v>229</v>
      </c>
      <c r="D59" s="36" t="s">
        <v>220</v>
      </c>
      <c r="E59" s="38">
        <v>206</v>
      </c>
      <c r="F59" s="38">
        <v>165</v>
      </c>
      <c r="G59" s="38">
        <v>212</v>
      </c>
      <c r="H59" s="31">
        <v>206</v>
      </c>
      <c r="I59" s="38">
        <v>229</v>
      </c>
      <c r="J59" s="38">
        <v>192</v>
      </c>
      <c r="K59" s="23">
        <f t="shared" si="0"/>
        <v>1210</v>
      </c>
    </row>
    <row r="60" spans="1:11" ht="16.5" thickBot="1">
      <c r="A60" s="18">
        <f t="shared" si="1"/>
        <v>55</v>
      </c>
      <c r="B60" s="37" t="s">
        <v>23</v>
      </c>
      <c r="C60" s="37" t="s">
        <v>542</v>
      </c>
      <c r="D60" s="36" t="s">
        <v>536</v>
      </c>
      <c r="E60" s="38">
        <v>206</v>
      </c>
      <c r="F60" s="38">
        <v>177</v>
      </c>
      <c r="G60" s="38">
        <v>210</v>
      </c>
      <c r="H60" s="31">
        <v>156</v>
      </c>
      <c r="I60" s="38">
        <v>215</v>
      </c>
      <c r="J60" s="38">
        <v>244</v>
      </c>
      <c r="K60" s="23">
        <f t="shared" si="0"/>
        <v>1208</v>
      </c>
    </row>
    <row r="61" spans="1:11" ht="16.5" thickBot="1">
      <c r="A61" s="18">
        <f t="shared" si="1"/>
        <v>56</v>
      </c>
      <c r="B61" s="37" t="s">
        <v>422</v>
      </c>
      <c r="C61" s="37" t="s">
        <v>589</v>
      </c>
      <c r="D61" s="36" t="s">
        <v>584</v>
      </c>
      <c r="E61" s="38">
        <v>195</v>
      </c>
      <c r="F61" s="38">
        <v>223</v>
      </c>
      <c r="G61" s="38">
        <v>172</v>
      </c>
      <c r="H61" s="31">
        <v>229</v>
      </c>
      <c r="I61" s="38">
        <v>179</v>
      </c>
      <c r="J61" s="38">
        <v>210</v>
      </c>
      <c r="K61" s="23">
        <f t="shared" si="0"/>
        <v>1208</v>
      </c>
    </row>
    <row r="62" spans="1:11" ht="16.5" thickBot="1">
      <c r="A62" s="18">
        <f t="shared" si="1"/>
        <v>57</v>
      </c>
      <c r="B62" s="37" t="s">
        <v>453</v>
      </c>
      <c r="C62" s="37" t="s">
        <v>859</v>
      </c>
      <c r="D62" s="36" t="s">
        <v>856</v>
      </c>
      <c r="E62" s="38">
        <v>188</v>
      </c>
      <c r="F62" s="38">
        <v>181</v>
      </c>
      <c r="G62" s="38">
        <v>236</v>
      </c>
      <c r="H62" s="31">
        <v>179</v>
      </c>
      <c r="I62" s="38">
        <v>228</v>
      </c>
      <c r="J62" s="38">
        <v>196</v>
      </c>
      <c r="K62" s="23">
        <f t="shared" si="0"/>
        <v>1208</v>
      </c>
    </row>
    <row r="63" spans="1:11" ht="16.5" thickBot="1">
      <c r="A63" s="18">
        <f t="shared" si="1"/>
        <v>58</v>
      </c>
      <c r="B63" s="37" t="s">
        <v>30</v>
      </c>
      <c r="C63" s="37" t="s">
        <v>31</v>
      </c>
      <c r="D63" s="36" t="s">
        <v>27</v>
      </c>
      <c r="E63" s="38">
        <v>185</v>
      </c>
      <c r="F63" s="38">
        <v>213</v>
      </c>
      <c r="G63" s="38">
        <v>194</v>
      </c>
      <c r="H63" s="31">
        <v>211</v>
      </c>
      <c r="I63" s="38">
        <v>235</v>
      </c>
      <c r="J63" s="38">
        <v>169</v>
      </c>
      <c r="K63" s="23">
        <f t="shared" si="0"/>
        <v>1207</v>
      </c>
    </row>
    <row r="64" spans="1:11" ht="16.5" thickBot="1">
      <c r="A64" s="18">
        <f t="shared" si="1"/>
        <v>59</v>
      </c>
      <c r="B64" s="37" t="s">
        <v>94</v>
      </c>
      <c r="C64" s="37" t="s">
        <v>257</v>
      </c>
      <c r="D64" s="36" t="s">
        <v>247</v>
      </c>
      <c r="E64" s="38">
        <v>223</v>
      </c>
      <c r="F64" s="38">
        <v>216</v>
      </c>
      <c r="G64" s="38">
        <v>254</v>
      </c>
      <c r="H64" s="31">
        <v>177</v>
      </c>
      <c r="I64" s="38">
        <v>181</v>
      </c>
      <c r="J64" s="38">
        <v>156</v>
      </c>
      <c r="K64" s="23">
        <f t="shared" si="0"/>
        <v>1207</v>
      </c>
    </row>
    <row r="65" spans="1:11" ht="16.5" thickBot="1">
      <c r="A65" s="18">
        <f t="shared" si="1"/>
        <v>60</v>
      </c>
      <c r="B65" s="37" t="s">
        <v>332</v>
      </c>
      <c r="C65" s="37" t="s">
        <v>333</v>
      </c>
      <c r="D65" s="36" t="s">
        <v>331</v>
      </c>
      <c r="E65" s="38">
        <v>211</v>
      </c>
      <c r="F65" s="38">
        <v>143</v>
      </c>
      <c r="G65" s="38">
        <v>205</v>
      </c>
      <c r="H65" s="31">
        <v>205</v>
      </c>
      <c r="I65" s="38">
        <v>279</v>
      </c>
      <c r="J65" s="38">
        <v>164</v>
      </c>
      <c r="K65" s="23">
        <f t="shared" si="0"/>
        <v>1207</v>
      </c>
    </row>
    <row r="66" spans="1:11" ht="16.5" thickBot="1">
      <c r="A66" s="18">
        <f t="shared" si="1"/>
        <v>61</v>
      </c>
      <c r="B66" s="37" t="s">
        <v>72</v>
      </c>
      <c r="C66" s="37" t="s">
        <v>73</v>
      </c>
      <c r="D66" s="36" t="s">
        <v>61</v>
      </c>
      <c r="E66" s="38">
        <v>160</v>
      </c>
      <c r="F66" s="38">
        <v>188</v>
      </c>
      <c r="G66" s="38">
        <v>183</v>
      </c>
      <c r="H66" s="31">
        <v>233</v>
      </c>
      <c r="I66" s="38">
        <v>234</v>
      </c>
      <c r="J66" s="38">
        <v>207</v>
      </c>
      <c r="K66" s="23">
        <f t="shared" si="0"/>
        <v>1205</v>
      </c>
    </row>
    <row r="67" spans="1:11" ht="16.5" thickBot="1">
      <c r="A67" s="18">
        <f t="shared" si="1"/>
        <v>62</v>
      </c>
      <c r="B67" s="37" t="s">
        <v>38</v>
      </c>
      <c r="C67" s="37" t="s">
        <v>183</v>
      </c>
      <c r="D67" s="36" t="s">
        <v>180</v>
      </c>
      <c r="E67" s="38">
        <v>213</v>
      </c>
      <c r="F67" s="38">
        <v>191</v>
      </c>
      <c r="G67" s="38">
        <v>159</v>
      </c>
      <c r="H67" s="31">
        <v>206</v>
      </c>
      <c r="I67" s="38">
        <v>212</v>
      </c>
      <c r="J67" s="38">
        <v>223</v>
      </c>
      <c r="K67" s="23">
        <f t="shared" si="0"/>
        <v>1204</v>
      </c>
    </row>
    <row r="68" spans="1:11" ht="16.5" thickBot="1">
      <c r="A68" s="18">
        <f t="shared" si="1"/>
        <v>63</v>
      </c>
      <c r="B68" s="37" t="s">
        <v>411</v>
      </c>
      <c r="C68" s="37" t="s">
        <v>412</v>
      </c>
      <c r="D68" s="36" t="s">
        <v>402</v>
      </c>
      <c r="E68" s="38">
        <v>200</v>
      </c>
      <c r="F68" s="38">
        <v>186</v>
      </c>
      <c r="G68" s="38">
        <v>155</v>
      </c>
      <c r="H68" s="31">
        <v>212</v>
      </c>
      <c r="I68" s="38">
        <v>205</v>
      </c>
      <c r="J68" s="38">
        <v>244</v>
      </c>
      <c r="K68" s="23">
        <f t="shared" si="0"/>
        <v>1202</v>
      </c>
    </row>
    <row r="69" spans="1:11" ht="16.5" thickBot="1">
      <c r="A69" s="18">
        <f t="shared" si="1"/>
        <v>64</v>
      </c>
      <c r="B69" s="37" t="s">
        <v>92</v>
      </c>
      <c r="C69" s="37" t="s">
        <v>624</v>
      </c>
      <c r="D69" s="36" t="s">
        <v>617</v>
      </c>
      <c r="E69" s="38">
        <v>247</v>
      </c>
      <c r="F69" s="38">
        <v>202</v>
      </c>
      <c r="G69" s="38">
        <v>186</v>
      </c>
      <c r="H69" s="31">
        <v>209</v>
      </c>
      <c r="I69" s="38">
        <v>189</v>
      </c>
      <c r="J69" s="38">
        <v>168</v>
      </c>
      <c r="K69" s="23">
        <f t="shared" si="0"/>
        <v>1201</v>
      </c>
    </row>
    <row r="70" spans="1:11" ht="16.5" thickBot="1">
      <c r="A70" s="18">
        <f t="shared" si="1"/>
        <v>65</v>
      </c>
      <c r="B70" s="37" t="s">
        <v>36</v>
      </c>
      <c r="C70" s="37" t="s">
        <v>795</v>
      </c>
      <c r="D70" s="36" t="s">
        <v>789</v>
      </c>
      <c r="E70" s="38">
        <v>191</v>
      </c>
      <c r="F70" s="38">
        <v>225</v>
      </c>
      <c r="G70" s="38">
        <v>223</v>
      </c>
      <c r="H70" s="31">
        <v>183</v>
      </c>
      <c r="I70" s="38">
        <v>189</v>
      </c>
      <c r="J70" s="38">
        <v>188</v>
      </c>
      <c r="K70" s="23">
        <f t="shared" ref="K70:K133" si="2">SUM(E70:J70)</f>
        <v>1199</v>
      </c>
    </row>
    <row r="71" spans="1:11" ht="16.5" thickBot="1">
      <c r="A71" s="18">
        <f t="shared" si="1"/>
        <v>66</v>
      </c>
      <c r="B71" s="37" t="s">
        <v>92</v>
      </c>
      <c r="C71" s="37" t="s">
        <v>651</v>
      </c>
      <c r="D71" s="36" t="s">
        <v>643</v>
      </c>
      <c r="E71" s="38">
        <v>179</v>
      </c>
      <c r="F71" s="38">
        <v>196</v>
      </c>
      <c r="G71" s="38">
        <v>174</v>
      </c>
      <c r="H71" s="31">
        <v>226</v>
      </c>
      <c r="I71" s="38">
        <v>191</v>
      </c>
      <c r="J71" s="38">
        <v>232</v>
      </c>
      <c r="K71" s="23">
        <f t="shared" si="2"/>
        <v>1198</v>
      </c>
    </row>
    <row r="72" spans="1:11" ht="16.5" thickBot="1">
      <c r="A72" s="18">
        <f t="shared" ref="A72:A135" si="3">A71+1</f>
        <v>67</v>
      </c>
      <c r="B72" s="37" t="s">
        <v>507</v>
      </c>
      <c r="C72" s="37" t="s">
        <v>508</v>
      </c>
      <c r="D72" s="36" t="s">
        <v>501</v>
      </c>
      <c r="E72" s="38">
        <v>231</v>
      </c>
      <c r="F72" s="38">
        <v>215</v>
      </c>
      <c r="G72" s="38">
        <v>157</v>
      </c>
      <c r="H72" s="31">
        <v>211</v>
      </c>
      <c r="I72" s="38">
        <v>179</v>
      </c>
      <c r="J72" s="38">
        <v>204</v>
      </c>
      <c r="K72" s="23">
        <f t="shared" si="2"/>
        <v>1197</v>
      </c>
    </row>
    <row r="73" spans="1:11" ht="16.5" thickBot="1">
      <c r="A73" s="18">
        <f t="shared" si="3"/>
        <v>68</v>
      </c>
      <c r="B73" s="37" t="s">
        <v>49</v>
      </c>
      <c r="C73" s="37" t="s">
        <v>637</v>
      </c>
      <c r="D73" s="36" t="s">
        <v>636</v>
      </c>
      <c r="E73" s="38">
        <v>217</v>
      </c>
      <c r="F73" s="38">
        <v>223</v>
      </c>
      <c r="G73" s="38">
        <v>202</v>
      </c>
      <c r="H73" s="31">
        <v>204</v>
      </c>
      <c r="I73" s="38">
        <v>157</v>
      </c>
      <c r="J73" s="38">
        <v>193</v>
      </c>
      <c r="K73" s="23">
        <f t="shared" si="2"/>
        <v>1196</v>
      </c>
    </row>
    <row r="74" spans="1:11" ht="16.5" thickBot="1">
      <c r="A74" s="18">
        <f t="shared" si="3"/>
        <v>69</v>
      </c>
      <c r="B74" s="37" t="s">
        <v>326</v>
      </c>
      <c r="C74" s="37" t="s">
        <v>238</v>
      </c>
      <c r="D74" s="36" t="s">
        <v>713</v>
      </c>
      <c r="E74" s="38">
        <v>214</v>
      </c>
      <c r="F74" s="38">
        <v>167</v>
      </c>
      <c r="G74" s="38">
        <v>213</v>
      </c>
      <c r="H74" s="31">
        <v>193</v>
      </c>
      <c r="I74" s="38">
        <v>213</v>
      </c>
      <c r="J74" s="38">
        <v>195</v>
      </c>
      <c r="K74" s="23">
        <f t="shared" si="2"/>
        <v>1195</v>
      </c>
    </row>
    <row r="75" spans="1:11" ht="16.5" thickBot="1">
      <c r="A75" s="18">
        <f t="shared" si="3"/>
        <v>70</v>
      </c>
      <c r="B75" s="37" t="s">
        <v>245</v>
      </c>
      <c r="C75" s="37" t="s">
        <v>631</v>
      </c>
      <c r="D75" s="36" t="s">
        <v>626</v>
      </c>
      <c r="E75" s="38">
        <v>132</v>
      </c>
      <c r="F75" s="38">
        <v>204</v>
      </c>
      <c r="G75" s="38">
        <v>202</v>
      </c>
      <c r="H75" s="31">
        <v>191</v>
      </c>
      <c r="I75" s="38">
        <v>229</v>
      </c>
      <c r="J75" s="38">
        <v>236</v>
      </c>
      <c r="K75" s="23">
        <f t="shared" si="2"/>
        <v>1194</v>
      </c>
    </row>
    <row r="76" spans="1:11" ht="16.5" thickBot="1">
      <c r="A76" s="18">
        <f t="shared" si="3"/>
        <v>71</v>
      </c>
      <c r="B76" s="37" t="s">
        <v>663</v>
      </c>
      <c r="C76" s="37" t="s">
        <v>664</v>
      </c>
      <c r="D76" s="36" t="s">
        <v>654</v>
      </c>
      <c r="E76" s="38">
        <v>156</v>
      </c>
      <c r="F76" s="38">
        <v>199</v>
      </c>
      <c r="G76" s="38">
        <v>177</v>
      </c>
      <c r="H76" s="31">
        <v>214</v>
      </c>
      <c r="I76" s="38">
        <v>266</v>
      </c>
      <c r="J76" s="38">
        <v>182</v>
      </c>
      <c r="K76" s="23">
        <f t="shared" si="2"/>
        <v>1194</v>
      </c>
    </row>
    <row r="77" spans="1:11" ht="16.5" thickBot="1">
      <c r="A77" s="18">
        <f t="shared" si="3"/>
        <v>72</v>
      </c>
      <c r="B77" s="37" t="s">
        <v>433</v>
      </c>
      <c r="C77" s="37" t="s">
        <v>434</v>
      </c>
      <c r="D77" s="36" t="s">
        <v>425</v>
      </c>
      <c r="E77" s="38">
        <v>170</v>
      </c>
      <c r="F77" s="38">
        <v>194</v>
      </c>
      <c r="G77" s="38">
        <v>242</v>
      </c>
      <c r="H77" s="31">
        <v>176</v>
      </c>
      <c r="I77" s="38">
        <v>202</v>
      </c>
      <c r="J77" s="38">
        <v>209</v>
      </c>
      <c r="K77" s="23">
        <f t="shared" si="2"/>
        <v>1193</v>
      </c>
    </row>
    <row r="78" spans="1:11" ht="16.5" thickBot="1">
      <c r="A78" s="18">
        <f t="shared" si="3"/>
        <v>73</v>
      </c>
      <c r="B78" s="37" t="s">
        <v>92</v>
      </c>
      <c r="C78" s="37" t="s">
        <v>881</v>
      </c>
      <c r="D78" s="36" t="s">
        <v>875</v>
      </c>
      <c r="E78" s="38">
        <v>193</v>
      </c>
      <c r="F78" s="38">
        <v>188</v>
      </c>
      <c r="G78" s="38">
        <v>193</v>
      </c>
      <c r="H78" s="31">
        <v>207</v>
      </c>
      <c r="I78" s="38">
        <v>179</v>
      </c>
      <c r="J78" s="38">
        <v>232</v>
      </c>
      <c r="K78" s="23">
        <f t="shared" si="2"/>
        <v>1192</v>
      </c>
    </row>
    <row r="79" spans="1:11" ht="16.5" thickBot="1">
      <c r="A79" s="18">
        <f t="shared" si="3"/>
        <v>74</v>
      </c>
      <c r="B79" s="37" t="s">
        <v>208</v>
      </c>
      <c r="C79" s="37" t="s">
        <v>209</v>
      </c>
      <c r="D79" s="36" t="s">
        <v>205</v>
      </c>
      <c r="E79" s="38">
        <v>202</v>
      </c>
      <c r="F79" s="38">
        <v>212</v>
      </c>
      <c r="G79" s="38">
        <v>216</v>
      </c>
      <c r="H79" s="31">
        <v>202</v>
      </c>
      <c r="I79" s="38">
        <v>172</v>
      </c>
      <c r="J79" s="38">
        <v>184</v>
      </c>
      <c r="K79" s="23">
        <f t="shared" si="2"/>
        <v>1188</v>
      </c>
    </row>
    <row r="80" spans="1:11" ht="16.5" thickBot="1">
      <c r="A80" s="18">
        <f t="shared" si="3"/>
        <v>75</v>
      </c>
      <c r="B80" s="37" t="s">
        <v>239</v>
      </c>
      <c r="C80" s="37" t="s">
        <v>240</v>
      </c>
      <c r="D80" s="36" t="s">
        <v>231</v>
      </c>
      <c r="E80" s="38">
        <v>163</v>
      </c>
      <c r="F80" s="38">
        <v>213</v>
      </c>
      <c r="G80" s="38">
        <v>178</v>
      </c>
      <c r="H80" s="31">
        <v>186</v>
      </c>
      <c r="I80" s="38">
        <v>225</v>
      </c>
      <c r="J80" s="38">
        <v>223</v>
      </c>
      <c r="K80" s="23">
        <f t="shared" si="2"/>
        <v>1188</v>
      </c>
    </row>
    <row r="81" spans="1:11" ht="16.5" thickBot="1">
      <c r="A81" s="18">
        <f t="shared" si="3"/>
        <v>76</v>
      </c>
      <c r="B81" s="37" t="s">
        <v>75</v>
      </c>
      <c r="C81" s="37" t="s">
        <v>428</v>
      </c>
      <c r="D81" s="36" t="s">
        <v>425</v>
      </c>
      <c r="E81" s="38">
        <v>175</v>
      </c>
      <c r="F81" s="38">
        <v>211</v>
      </c>
      <c r="G81" s="38">
        <v>214</v>
      </c>
      <c r="H81" s="31">
        <v>165</v>
      </c>
      <c r="I81" s="38">
        <v>187</v>
      </c>
      <c r="J81" s="38">
        <v>236</v>
      </c>
      <c r="K81" s="23">
        <f t="shared" si="2"/>
        <v>1188</v>
      </c>
    </row>
    <row r="82" spans="1:11" ht="16.5" thickBot="1">
      <c r="A82" s="18">
        <f t="shared" si="3"/>
        <v>77</v>
      </c>
      <c r="B82" s="37" t="s">
        <v>36</v>
      </c>
      <c r="C82" s="37" t="s">
        <v>268</v>
      </c>
      <c r="D82" s="36" t="s">
        <v>262</v>
      </c>
      <c r="E82" s="38">
        <v>199</v>
      </c>
      <c r="F82" s="38">
        <v>182</v>
      </c>
      <c r="G82" s="38">
        <v>189</v>
      </c>
      <c r="H82" s="31">
        <v>171</v>
      </c>
      <c r="I82" s="38">
        <v>241</v>
      </c>
      <c r="J82" s="38">
        <v>205</v>
      </c>
      <c r="K82" s="23">
        <f t="shared" si="2"/>
        <v>1187</v>
      </c>
    </row>
    <row r="83" spans="1:11" ht="16.5" thickBot="1">
      <c r="A83" s="18">
        <f t="shared" si="3"/>
        <v>78</v>
      </c>
      <c r="B83" s="37" t="s">
        <v>83</v>
      </c>
      <c r="C83" s="37" t="s">
        <v>35</v>
      </c>
      <c r="D83" s="36" t="s">
        <v>74</v>
      </c>
      <c r="E83" s="38">
        <v>201</v>
      </c>
      <c r="F83" s="38">
        <v>223</v>
      </c>
      <c r="G83" s="38">
        <v>165</v>
      </c>
      <c r="H83" s="31">
        <v>199</v>
      </c>
      <c r="I83" s="38">
        <v>212</v>
      </c>
      <c r="J83" s="38">
        <v>184</v>
      </c>
      <c r="K83" s="23">
        <f t="shared" si="2"/>
        <v>1184</v>
      </c>
    </row>
    <row r="84" spans="1:11" ht="16.5" thickBot="1">
      <c r="A84" s="18">
        <f t="shared" si="3"/>
        <v>79</v>
      </c>
      <c r="B84" s="37" t="s">
        <v>860</v>
      </c>
      <c r="C84" s="37" t="s">
        <v>861</v>
      </c>
      <c r="D84" s="36" t="s">
        <v>856</v>
      </c>
      <c r="E84" s="38">
        <v>182</v>
      </c>
      <c r="F84" s="38">
        <v>166</v>
      </c>
      <c r="G84" s="38">
        <v>221</v>
      </c>
      <c r="H84" s="31">
        <v>199</v>
      </c>
      <c r="I84" s="38">
        <v>209</v>
      </c>
      <c r="J84" s="38">
        <v>207</v>
      </c>
      <c r="K84" s="23">
        <f t="shared" si="2"/>
        <v>1184</v>
      </c>
    </row>
    <row r="85" spans="1:11" ht="16.5" thickBot="1">
      <c r="A85" s="18">
        <f t="shared" si="3"/>
        <v>80</v>
      </c>
      <c r="B85" s="37" t="s">
        <v>170</v>
      </c>
      <c r="C85" s="37" t="s">
        <v>492</v>
      </c>
      <c r="D85" s="36" t="s">
        <v>490</v>
      </c>
      <c r="E85" s="38">
        <v>201</v>
      </c>
      <c r="F85" s="38">
        <v>217</v>
      </c>
      <c r="G85" s="38">
        <v>182</v>
      </c>
      <c r="H85" s="31">
        <v>221</v>
      </c>
      <c r="I85" s="38">
        <v>226</v>
      </c>
      <c r="J85" s="38">
        <v>136</v>
      </c>
      <c r="K85" s="23">
        <f t="shared" si="2"/>
        <v>1183</v>
      </c>
    </row>
    <row r="86" spans="1:11" ht="16.5" thickBot="1">
      <c r="A86" s="18">
        <f t="shared" si="3"/>
        <v>81</v>
      </c>
      <c r="B86" s="37" t="s">
        <v>603</v>
      </c>
      <c r="C86" s="37" t="s">
        <v>604</v>
      </c>
      <c r="D86" s="36" t="s">
        <v>594</v>
      </c>
      <c r="E86" s="38">
        <v>181</v>
      </c>
      <c r="F86" s="38">
        <v>166</v>
      </c>
      <c r="G86" s="38">
        <v>225</v>
      </c>
      <c r="H86" s="31">
        <v>178</v>
      </c>
      <c r="I86" s="38">
        <v>217</v>
      </c>
      <c r="J86" s="38">
        <v>216</v>
      </c>
      <c r="K86" s="23">
        <f t="shared" si="2"/>
        <v>1183</v>
      </c>
    </row>
    <row r="87" spans="1:11" ht="16.5" thickBot="1">
      <c r="A87" s="18">
        <f t="shared" si="3"/>
        <v>82</v>
      </c>
      <c r="B87" s="37" t="s">
        <v>92</v>
      </c>
      <c r="C87" s="37" t="s">
        <v>634</v>
      </c>
      <c r="D87" s="36" t="s">
        <v>626</v>
      </c>
      <c r="E87" s="38">
        <v>191</v>
      </c>
      <c r="F87" s="38">
        <v>198</v>
      </c>
      <c r="G87" s="38">
        <v>163</v>
      </c>
      <c r="H87" s="31">
        <v>193</v>
      </c>
      <c r="I87" s="38">
        <v>193</v>
      </c>
      <c r="J87" s="38">
        <v>242</v>
      </c>
      <c r="K87" s="23">
        <f t="shared" si="2"/>
        <v>1180</v>
      </c>
    </row>
    <row r="88" spans="1:11" ht="16.5" thickBot="1">
      <c r="A88" s="18">
        <f t="shared" si="3"/>
        <v>83</v>
      </c>
      <c r="B88" s="37" t="s">
        <v>36</v>
      </c>
      <c r="C88" s="37" t="s">
        <v>254</v>
      </c>
      <c r="D88" s="36" t="s">
        <v>247</v>
      </c>
      <c r="E88" s="38">
        <v>204</v>
      </c>
      <c r="F88" s="38">
        <v>181</v>
      </c>
      <c r="G88" s="38">
        <v>215</v>
      </c>
      <c r="H88" s="31">
        <v>223</v>
      </c>
      <c r="I88" s="38">
        <v>160</v>
      </c>
      <c r="J88" s="38">
        <v>194</v>
      </c>
      <c r="K88" s="23">
        <f t="shared" si="2"/>
        <v>1177</v>
      </c>
    </row>
    <row r="89" spans="1:11" ht="16.5" thickBot="1">
      <c r="A89" s="18">
        <f t="shared" si="3"/>
        <v>84</v>
      </c>
      <c r="B89" s="37" t="s">
        <v>739</v>
      </c>
      <c r="C89" s="37" t="s">
        <v>740</v>
      </c>
      <c r="D89" s="36" t="s">
        <v>729</v>
      </c>
      <c r="E89" s="38">
        <v>171</v>
      </c>
      <c r="F89" s="38">
        <v>191</v>
      </c>
      <c r="G89" s="38">
        <v>231</v>
      </c>
      <c r="H89" s="31">
        <v>175</v>
      </c>
      <c r="I89" s="38">
        <v>204</v>
      </c>
      <c r="J89" s="38">
        <v>204</v>
      </c>
      <c r="K89" s="23">
        <f t="shared" si="2"/>
        <v>1176</v>
      </c>
    </row>
    <row r="90" spans="1:11" ht="16.5" thickBot="1">
      <c r="A90" s="18">
        <f t="shared" si="3"/>
        <v>85</v>
      </c>
      <c r="B90" s="37" t="s">
        <v>89</v>
      </c>
      <c r="C90" s="37" t="s">
        <v>153</v>
      </c>
      <c r="D90" s="36" t="s">
        <v>143</v>
      </c>
      <c r="E90" s="38">
        <v>148</v>
      </c>
      <c r="F90" s="38">
        <v>187</v>
      </c>
      <c r="G90" s="38">
        <v>256</v>
      </c>
      <c r="H90" s="31">
        <v>168</v>
      </c>
      <c r="I90" s="38">
        <v>230</v>
      </c>
      <c r="J90" s="38">
        <v>185</v>
      </c>
      <c r="K90" s="23">
        <f t="shared" si="2"/>
        <v>1174</v>
      </c>
    </row>
    <row r="91" spans="1:11" ht="16.5" thickBot="1">
      <c r="A91" s="18">
        <f t="shared" si="3"/>
        <v>86</v>
      </c>
      <c r="B91" s="37" t="s">
        <v>467</v>
      </c>
      <c r="C91" s="37" t="s">
        <v>576</v>
      </c>
      <c r="D91" s="36" t="s">
        <v>575</v>
      </c>
      <c r="E91" s="38">
        <v>223</v>
      </c>
      <c r="F91" s="38">
        <v>200</v>
      </c>
      <c r="G91" s="38">
        <v>168</v>
      </c>
      <c r="H91" s="31">
        <v>173</v>
      </c>
      <c r="I91" s="38">
        <v>218</v>
      </c>
      <c r="J91" s="38">
        <v>192</v>
      </c>
      <c r="K91" s="23">
        <f t="shared" si="2"/>
        <v>1174</v>
      </c>
    </row>
    <row r="92" spans="1:11" ht="16.5" thickBot="1">
      <c r="A92" s="18">
        <f t="shared" si="3"/>
        <v>87</v>
      </c>
      <c r="B92" s="37" t="s">
        <v>214</v>
      </c>
      <c r="C92" s="37" t="s">
        <v>215</v>
      </c>
      <c r="D92" s="36" t="s">
        <v>205</v>
      </c>
      <c r="E92" s="38">
        <v>234</v>
      </c>
      <c r="F92" s="38">
        <v>179</v>
      </c>
      <c r="G92" s="38">
        <v>171</v>
      </c>
      <c r="H92" s="31">
        <v>201</v>
      </c>
      <c r="I92" s="38">
        <v>185</v>
      </c>
      <c r="J92" s="38">
        <v>203</v>
      </c>
      <c r="K92" s="23">
        <f t="shared" si="2"/>
        <v>1173</v>
      </c>
    </row>
    <row r="93" spans="1:11" ht="16.5" thickBot="1">
      <c r="A93" s="18">
        <f t="shared" si="3"/>
        <v>88</v>
      </c>
      <c r="B93" s="37" t="s">
        <v>45</v>
      </c>
      <c r="C93" s="37" t="s">
        <v>808</v>
      </c>
      <c r="D93" s="36" t="s">
        <v>807</v>
      </c>
      <c r="E93" s="38">
        <v>161</v>
      </c>
      <c r="F93" s="38">
        <v>183</v>
      </c>
      <c r="G93" s="38">
        <v>194</v>
      </c>
      <c r="H93" s="31">
        <v>210</v>
      </c>
      <c r="I93" s="38">
        <v>223</v>
      </c>
      <c r="J93" s="38">
        <v>201</v>
      </c>
      <c r="K93" s="23">
        <f t="shared" si="2"/>
        <v>1172</v>
      </c>
    </row>
    <row r="94" spans="1:11" ht="16.5" thickBot="1">
      <c r="A94" s="18">
        <f t="shared" si="3"/>
        <v>89</v>
      </c>
      <c r="B94" s="37" t="s">
        <v>66</v>
      </c>
      <c r="C94" s="37" t="s">
        <v>48</v>
      </c>
      <c r="D94" s="36" t="s">
        <v>342</v>
      </c>
      <c r="E94" s="38">
        <v>189</v>
      </c>
      <c r="F94" s="38">
        <v>162</v>
      </c>
      <c r="G94" s="38">
        <v>264</v>
      </c>
      <c r="H94" s="31">
        <v>181</v>
      </c>
      <c r="I94" s="38">
        <v>173</v>
      </c>
      <c r="J94" s="38">
        <v>202</v>
      </c>
      <c r="K94" s="23">
        <f t="shared" si="2"/>
        <v>1171</v>
      </c>
    </row>
    <row r="95" spans="1:11" ht="16.5" thickBot="1">
      <c r="A95" s="18">
        <f t="shared" si="3"/>
        <v>90</v>
      </c>
      <c r="B95" s="37" t="s">
        <v>14</v>
      </c>
      <c r="C95" s="37" t="s">
        <v>687</v>
      </c>
      <c r="D95" s="36" t="s">
        <v>686</v>
      </c>
      <c r="E95" s="38">
        <v>179</v>
      </c>
      <c r="F95" s="38">
        <v>181</v>
      </c>
      <c r="G95" s="38">
        <v>221</v>
      </c>
      <c r="H95" s="31">
        <v>212</v>
      </c>
      <c r="I95" s="38">
        <v>201</v>
      </c>
      <c r="J95" s="38">
        <v>177</v>
      </c>
      <c r="K95" s="23">
        <f t="shared" si="2"/>
        <v>1171</v>
      </c>
    </row>
    <row r="96" spans="1:11" ht="16.5" thickBot="1">
      <c r="A96" s="18">
        <f t="shared" si="3"/>
        <v>91</v>
      </c>
      <c r="B96" s="37" t="s">
        <v>83</v>
      </c>
      <c r="C96" s="37" t="s">
        <v>727</v>
      </c>
      <c r="D96" s="36" t="s">
        <v>720</v>
      </c>
      <c r="E96" s="38">
        <v>154</v>
      </c>
      <c r="F96" s="38">
        <v>201</v>
      </c>
      <c r="G96" s="38">
        <v>267</v>
      </c>
      <c r="H96" s="31">
        <v>135</v>
      </c>
      <c r="I96" s="38">
        <v>221</v>
      </c>
      <c r="J96" s="38">
        <v>193</v>
      </c>
      <c r="K96" s="23">
        <f t="shared" si="2"/>
        <v>1171</v>
      </c>
    </row>
    <row r="97" spans="1:11" ht="16.5" thickBot="1">
      <c r="A97" s="18">
        <f t="shared" si="3"/>
        <v>92</v>
      </c>
      <c r="B97" s="37" t="s">
        <v>170</v>
      </c>
      <c r="C97" s="37" t="s">
        <v>578</v>
      </c>
      <c r="D97" s="36" t="s">
        <v>575</v>
      </c>
      <c r="E97" s="38">
        <v>172</v>
      </c>
      <c r="F97" s="38">
        <v>192</v>
      </c>
      <c r="G97" s="38">
        <v>179</v>
      </c>
      <c r="H97" s="31">
        <v>181</v>
      </c>
      <c r="I97" s="38">
        <v>225</v>
      </c>
      <c r="J97" s="38">
        <v>221</v>
      </c>
      <c r="K97" s="23">
        <f t="shared" si="2"/>
        <v>1170</v>
      </c>
    </row>
    <row r="98" spans="1:11" ht="16.5" thickBot="1">
      <c r="A98" s="18">
        <f t="shared" si="3"/>
        <v>93</v>
      </c>
      <c r="B98" s="37" t="s">
        <v>658</v>
      </c>
      <c r="C98" s="37" t="s">
        <v>765</v>
      </c>
      <c r="D98" s="36" t="s">
        <v>763</v>
      </c>
      <c r="E98" s="38">
        <v>184</v>
      </c>
      <c r="F98" s="38">
        <v>155</v>
      </c>
      <c r="G98" s="38">
        <v>200</v>
      </c>
      <c r="H98" s="31">
        <v>190</v>
      </c>
      <c r="I98" s="38">
        <v>226</v>
      </c>
      <c r="J98" s="38">
        <v>215</v>
      </c>
      <c r="K98" s="23">
        <f t="shared" si="2"/>
        <v>1170</v>
      </c>
    </row>
    <row r="99" spans="1:11" ht="16.5" thickBot="1">
      <c r="A99" s="18">
        <f t="shared" si="3"/>
        <v>94</v>
      </c>
      <c r="B99" s="37" t="s">
        <v>150</v>
      </c>
      <c r="C99" s="37" t="s">
        <v>97</v>
      </c>
      <c r="D99" s="36" t="s">
        <v>143</v>
      </c>
      <c r="E99" s="38">
        <v>193</v>
      </c>
      <c r="F99" s="38">
        <v>257</v>
      </c>
      <c r="G99" s="38">
        <v>157</v>
      </c>
      <c r="H99" s="31">
        <v>174</v>
      </c>
      <c r="I99" s="38">
        <v>184</v>
      </c>
      <c r="J99" s="38">
        <v>203</v>
      </c>
      <c r="K99" s="23">
        <f t="shared" si="2"/>
        <v>1168</v>
      </c>
    </row>
    <row r="100" spans="1:11" ht="16.5" thickBot="1">
      <c r="A100" s="18">
        <f t="shared" si="3"/>
        <v>95</v>
      </c>
      <c r="B100" s="37" t="s">
        <v>99</v>
      </c>
      <c r="C100" s="37" t="s">
        <v>114</v>
      </c>
      <c r="D100" s="36" t="s">
        <v>113</v>
      </c>
      <c r="E100" s="38">
        <v>193</v>
      </c>
      <c r="F100" s="38">
        <v>175</v>
      </c>
      <c r="G100" s="38">
        <v>207</v>
      </c>
      <c r="H100" s="31">
        <v>215</v>
      </c>
      <c r="I100" s="38">
        <v>209</v>
      </c>
      <c r="J100" s="38">
        <v>168</v>
      </c>
      <c r="K100" s="23">
        <f t="shared" si="2"/>
        <v>1167</v>
      </c>
    </row>
    <row r="101" spans="1:11" ht="16.5" thickBot="1">
      <c r="A101" s="18">
        <f t="shared" si="3"/>
        <v>96</v>
      </c>
      <c r="B101" s="37" t="s">
        <v>59</v>
      </c>
      <c r="C101" s="37" t="s">
        <v>315</v>
      </c>
      <c r="D101" s="36" t="s">
        <v>799</v>
      </c>
      <c r="E101" s="38">
        <v>247</v>
      </c>
      <c r="F101" s="38">
        <v>200</v>
      </c>
      <c r="G101" s="38">
        <v>164</v>
      </c>
      <c r="H101" s="31">
        <v>159</v>
      </c>
      <c r="I101" s="38">
        <v>199</v>
      </c>
      <c r="J101" s="38">
        <v>198</v>
      </c>
      <c r="K101" s="23">
        <f t="shared" si="2"/>
        <v>1167</v>
      </c>
    </row>
    <row r="102" spans="1:11" ht="16.5" thickBot="1">
      <c r="A102" s="18">
        <f t="shared" si="3"/>
        <v>97</v>
      </c>
      <c r="B102" s="37" t="s">
        <v>334</v>
      </c>
      <c r="C102" s="37" t="s">
        <v>335</v>
      </c>
      <c r="D102" s="36" t="s">
        <v>331</v>
      </c>
      <c r="E102" s="38">
        <v>204</v>
      </c>
      <c r="F102" s="38">
        <v>167</v>
      </c>
      <c r="G102" s="38">
        <v>176</v>
      </c>
      <c r="H102" s="31">
        <v>233</v>
      </c>
      <c r="I102" s="38">
        <v>174</v>
      </c>
      <c r="J102" s="38">
        <v>212</v>
      </c>
      <c r="K102" s="23">
        <f t="shared" si="2"/>
        <v>1166</v>
      </c>
    </row>
    <row r="103" spans="1:11" ht="16.5" thickBot="1">
      <c r="A103" s="18">
        <f t="shared" si="3"/>
        <v>98</v>
      </c>
      <c r="B103" s="37" t="s">
        <v>161</v>
      </c>
      <c r="C103" s="37" t="s">
        <v>162</v>
      </c>
      <c r="D103" s="36" t="s">
        <v>154</v>
      </c>
      <c r="E103" s="38">
        <v>183</v>
      </c>
      <c r="F103" s="38">
        <v>178</v>
      </c>
      <c r="G103" s="38">
        <v>220</v>
      </c>
      <c r="H103" s="31">
        <v>209</v>
      </c>
      <c r="I103" s="38">
        <v>185</v>
      </c>
      <c r="J103" s="38">
        <v>187</v>
      </c>
      <c r="K103" s="23">
        <f t="shared" si="2"/>
        <v>1162</v>
      </c>
    </row>
    <row r="104" spans="1:11" ht="16.5" thickBot="1">
      <c r="A104" s="18">
        <f t="shared" si="3"/>
        <v>99</v>
      </c>
      <c r="B104" s="37" t="s">
        <v>453</v>
      </c>
      <c r="C104" s="37" t="s">
        <v>819</v>
      </c>
      <c r="D104" s="36" t="s">
        <v>817</v>
      </c>
      <c r="E104" s="38">
        <v>174</v>
      </c>
      <c r="F104" s="38">
        <v>197</v>
      </c>
      <c r="G104" s="38">
        <v>224</v>
      </c>
      <c r="H104" s="31">
        <v>191</v>
      </c>
      <c r="I104" s="38">
        <v>195</v>
      </c>
      <c r="J104" s="38">
        <v>181</v>
      </c>
      <c r="K104" s="23">
        <f t="shared" si="2"/>
        <v>1162</v>
      </c>
    </row>
    <row r="105" spans="1:11" ht="16.5" thickBot="1">
      <c r="A105" s="18">
        <f t="shared" si="3"/>
        <v>100</v>
      </c>
      <c r="B105" s="37" t="s">
        <v>23</v>
      </c>
      <c r="C105" s="37" t="s">
        <v>348</v>
      </c>
      <c r="D105" s="36" t="s">
        <v>547</v>
      </c>
      <c r="E105" s="38">
        <v>222</v>
      </c>
      <c r="F105" s="38">
        <v>168</v>
      </c>
      <c r="G105" s="38">
        <v>193</v>
      </c>
      <c r="H105" s="31">
        <v>181</v>
      </c>
      <c r="I105" s="38">
        <v>171</v>
      </c>
      <c r="J105" s="38">
        <v>226</v>
      </c>
      <c r="K105" s="23">
        <f t="shared" si="2"/>
        <v>1161</v>
      </c>
    </row>
    <row r="106" spans="1:11" ht="16.5" thickBot="1">
      <c r="A106" s="18">
        <f t="shared" si="3"/>
        <v>101</v>
      </c>
      <c r="B106" s="37" t="s">
        <v>36</v>
      </c>
      <c r="C106" s="37" t="s">
        <v>562</v>
      </c>
      <c r="D106" s="36" t="s">
        <v>557</v>
      </c>
      <c r="E106" s="38">
        <v>132</v>
      </c>
      <c r="F106" s="38">
        <v>197</v>
      </c>
      <c r="G106" s="38">
        <v>193</v>
      </c>
      <c r="H106" s="31">
        <v>183</v>
      </c>
      <c r="I106" s="38">
        <v>236</v>
      </c>
      <c r="J106" s="38">
        <v>219</v>
      </c>
      <c r="K106" s="23">
        <f t="shared" si="2"/>
        <v>1160</v>
      </c>
    </row>
    <row r="107" spans="1:11" ht="16.5" thickBot="1">
      <c r="A107" s="18">
        <f t="shared" si="3"/>
        <v>102</v>
      </c>
      <c r="B107" s="37" t="s">
        <v>81</v>
      </c>
      <c r="C107" s="37" t="s">
        <v>82</v>
      </c>
      <c r="D107" s="36" t="s">
        <v>74</v>
      </c>
      <c r="E107" s="38">
        <v>155</v>
      </c>
      <c r="F107" s="38">
        <v>192</v>
      </c>
      <c r="G107" s="38">
        <v>221</v>
      </c>
      <c r="H107" s="31">
        <v>183</v>
      </c>
      <c r="I107" s="38">
        <v>202</v>
      </c>
      <c r="J107" s="38">
        <v>206</v>
      </c>
      <c r="K107" s="23">
        <f t="shared" si="2"/>
        <v>1159</v>
      </c>
    </row>
    <row r="108" spans="1:11" ht="16.5" thickBot="1">
      <c r="A108" s="18">
        <f t="shared" si="3"/>
        <v>103</v>
      </c>
      <c r="B108" s="37" t="s">
        <v>35</v>
      </c>
      <c r="C108" s="37" t="s">
        <v>550</v>
      </c>
      <c r="D108" s="36" t="s">
        <v>547</v>
      </c>
      <c r="E108" s="38">
        <v>181</v>
      </c>
      <c r="F108" s="38">
        <v>205</v>
      </c>
      <c r="G108" s="38">
        <v>180</v>
      </c>
      <c r="H108" s="31">
        <v>223</v>
      </c>
      <c r="I108" s="38">
        <v>200</v>
      </c>
      <c r="J108" s="38">
        <v>170</v>
      </c>
      <c r="K108" s="23">
        <f t="shared" si="2"/>
        <v>1159</v>
      </c>
    </row>
    <row r="109" spans="1:11" ht="16.5" thickBot="1">
      <c r="A109" s="18">
        <f t="shared" si="3"/>
        <v>104</v>
      </c>
      <c r="B109" s="37" t="s">
        <v>698</v>
      </c>
      <c r="C109" s="37" t="s">
        <v>699</v>
      </c>
      <c r="D109" s="36" t="s">
        <v>695</v>
      </c>
      <c r="E109" s="38">
        <v>171</v>
      </c>
      <c r="F109" s="38">
        <v>200</v>
      </c>
      <c r="G109" s="38">
        <v>206</v>
      </c>
      <c r="H109" s="31">
        <v>152</v>
      </c>
      <c r="I109" s="38">
        <v>206</v>
      </c>
      <c r="J109" s="38">
        <v>224</v>
      </c>
      <c r="K109" s="23">
        <f t="shared" si="2"/>
        <v>1159</v>
      </c>
    </row>
    <row r="110" spans="1:11" ht="16.5" thickBot="1">
      <c r="A110" s="18">
        <f t="shared" si="3"/>
        <v>105</v>
      </c>
      <c r="B110" s="37" t="s">
        <v>89</v>
      </c>
      <c r="C110" s="37" t="s">
        <v>340</v>
      </c>
      <c r="D110" s="36" t="s">
        <v>331</v>
      </c>
      <c r="E110" s="38">
        <v>167</v>
      </c>
      <c r="F110" s="38">
        <v>215</v>
      </c>
      <c r="G110" s="38">
        <v>166</v>
      </c>
      <c r="H110" s="31">
        <v>209</v>
      </c>
      <c r="I110" s="38">
        <v>232</v>
      </c>
      <c r="J110" s="38">
        <v>169</v>
      </c>
      <c r="K110" s="23">
        <f t="shared" si="2"/>
        <v>1158</v>
      </c>
    </row>
    <row r="111" spans="1:11" ht="16.5" thickBot="1">
      <c r="A111" s="18">
        <f t="shared" si="3"/>
        <v>106</v>
      </c>
      <c r="B111" s="37" t="s">
        <v>266</v>
      </c>
      <c r="C111" s="37" t="s">
        <v>691</v>
      </c>
      <c r="D111" s="36" t="s">
        <v>848</v>
      </c>
      <c r="E111" s="38">
        <v>171</v>
      </c>
      <c r="F111" s="38">
        <v>177</v>
      </c>
      <c r="G111" s="38">
        <v>193</v>
      </c>
      <c r="H111" s="31">
        <v>206</v>
      </c>
      <c r="I111" s="38">
        <v>172</v>
      </c>
      <c r="J111" s="38">
        <v>239</v>
      </c>
      <c r="K111" s="23">
        <f t="shared" si="2"/>
        <v>1158</v>
      </c>
    </row>
    <row r="112" spans="1:11" ht="16.5" thickBot="1">
      <c r="A112" s="18">
        <f t="shared" si="3"/>
        <v>107</v>
      </c>
      <c r="B112" s="37" t="s">
        <v>376</v>
      </c>
      <c r="C112" s="37" t="s">
        <v>377</v>
      </c>
      <c r="D112" s="36" t="s">
        <v>373</v>
      </c>
      <c r="E112" s="38">
        <v>175</v>
      </c>
      <c r="F112" s="38">
        <v>177</v>
      </c>
      <c r="G112" s="38">
        <v>205</v>
      </c>
      <c r="H112" s="31">
        <v>203</v>
      </c>
      <c r="I112" s="38">
        <v>191</v>
      </c>
      <c r="J112" s="38">
        <v>206</v>
      </c>
      <c r="K112" s="23">
        <f t="shared" si="2"/>
        <v>1157</v>
      </c>
    </row>
    <row r="113" spans="1:11" ht="16.5" thickBot="1">
      <c r="A113" s="18">
        <f t="shared" si="3"/>
        <v>108</v>
      </c>
      <c r="B113" s="37" t="s">
        <v>344</v>
      </c>
      <c r="C113" s="37" t="s">
        <v>886</v>
      </c>
      <c r="D113" s="36" t="s">
        <v>883</v>
      </c>
      <c r="E113" s="38">
        <v>202</v>
      </c>
      <c r="F113" s="38">
        <v>170</v>
      </c>
      <c r="G113" s="38">
        <v>160</v>
      </c>
      <c r="H113" s="31">
        <v>232</v>
      </c>
      <c r="I113" s="38">
        <v>224</v>
      </c>
      <c r="J113" s="38">
        <v>168</v>
      </c>
      <c r="K113" s="23">
        <f t="shared" si="2"/>
        <v>1156</v>
      </c>
    </row>
    <row r="114" spans="1:11" ht="16.5" thickBot="1">
      <c r="A114" s="18">
        <f t="shared" si="3"/>
        <v>109</v>
      </c>
      <c r="B114" s="37" t="s">
        <v>336</v>
      </c>
      <c r="C114" s="37" t="s">
        <v>337</v>
      </c>
      <c r="D114" s="36" t="s">
        <v>331</v>
      </c>
      <c r="E114" s="38">
        <v>213</v>
      </c>
      <c r="F114" s="38">
        <v>173</v>
      </c>
      <c r="G114" s="38">
        <v>202</v>
      </c>
      <c r="H114" s="31">
        <v>195</v>
      </c>
      <c r="I114" s="38">
        <v>185</v>
      </c>
      <c r="J114" s="38">
        <v>187</v>
      </c>
      <c r="K114" s="23">
        <f t="shared" si="2"/>
        <v>1155</v>
      </c>
    </row>
    <row r="115" spans="1:11" ht="16.5" thickBot="1">
      <c r="A115" s="18">
        <f t="shared" si="3"/>
        <v>110</v>
      </c>
      <c r="B115" s="37" t="s">
        <v>385</v>
      </c>
      <c r="C115" s="37" t="s">
        <v>639</v>
      </c>
      <c r="D115" s="36" t="s">
        <v>636</v>
      </c>
      <c r="E115" s="38">
        <v>176</v>
      </c>
      <c r="F115" s="38">
        <v>163</v>
      </c>
      <c r="G115" s="38">
        <v>203</v>
      </c>
      <c r="H115" s="31">
        <v>194</v>
      </c>
      <c r="I115" s="38">
        <v>192</v>
      </c>
      <c r="J115" s="38">
        <v>225</v>
      </c>
      <c r="K115" s="23">
        <f t="shared" si="2"/>
        <v>1153</v>
      </c>
    </row>
    <row r="116" spans="1:11" ht="16.5" thickBot="1">
      <c r="A116" s="18">
        <f t="shared" si="3"/>
        <v>111</v>
      </c>
      <c r="B116" s="37" t="s">
        <v>243</v>
      </c>
      <c r="C116" s="37" t="s">
        <v>244</v>
      </c>
      <c r="D116" s="36" t="s">
        <v>231</v>
      </c>
      <c r="E116" s="38">
        <v>195</v>
      </c>
      <c r="F116" s="38">
        <v>148</v>
      </c>
      <c r="G116" s="38">
        <v>175</v>
      </c>
      <c r="H116" s="31">
        <v>223</v>
      </c>
      <c r="I116" s="38">
        <v>199</v>
      </c>
      <c r="J116" s="38">
        <v>212</v>
      </c>
      <c r="K116" s="23">
        <f t="shared" si="2"/>
        <v>1152</v>
      </c>
    </row>
    <row r="117" spans="1:11" ht="16.5" thickBot="1">
      <c r="A117" s="18">
        <f t="shared" si="3"/>
        <v>112</v>
      </c>
      <c r="B117" s="37" t="s">
        <v>627</v>
      </c>
      <c r="C117" s="37" t="s">
        <v>628</v>
      </c>
      <c r="D117" s="36" t="s">
        <v>626</v>
      </c>
      <c r="E117" s="38">
        <v>154</v>
      </c>
      <c r="F117" s="38">
        <v>236</v>
      </c>
      <c r="G117" s="38">
        <v>159</v>
      </c>
      <c r="H117" s="31">
        <v>196</v>
      </c>
      <c r="I117" s="38">
        <v>150</v>
      </c>
      <c r="J117" s="38">
        <v>255</v>
      </c>
      <c r="K117" s="23">
        <f t="shared" si="2"/>
        <v>1150</v>
      </c>
    </row>
    <row r="118" spans="1:11" ht="16.5" thickBot="1">
      <c r="A118" s="18">
        <f t="shared" si="3"/>
        <v>113</v>
      </c>
      <c r="B118" s="37" t="s">
        <v>57</v>
      </c>
      <c r="C118" s="37" t="s">
        <v>58</v>
      </c>
      <c r="D118" s="36" t="s">
        <v>44</v>
      </c>
      <c r="E118" s="38">
        <v>162</v>
      </c>
      <c r="F118" s="38">
        <v>202</v>
      </c>
      <c r="G118" s="38">
        <v>212</v>
      </c>
      <c r="H118" s="31">
        <v>177</v>
      </c>
      <c r="I118" s="38">
        <v>252</v>
      </c>
      <c r="J118" s="38">
        <v>144</v>
      </c>
      <c r="K118" s="23">
        <f t="shared" si="2"/>
        <v>1149</v>
      </c>
    </row>
    <row r="119" spans="1:11" ht="16.5" thickBot="1">
      <c r="A119" s="18">
        <f t="shared" si="3"/>
        <v>114</v>
      </c>
      <c r="B119" s="37" t="s">
        <v>385</v>
      </c>
      <c r="C119" s="37" t="s">
        <v>613</v>
      </c>
      <c r="D119" s="36" t="s">
        <v>607</v>
      </c>
      <c r="E119" s="38">
        <v>190</v>
      </c>
      <c r="F119" s="38">
        <v>167</v>
      </c>
      <c r="G119" s="38">
        <v>192</v>
      </c>
      <c r="H119" s="31">
        <v>193</v>
      </c>
      <c r="I119" s="38">
        <v>236</v>
      </c>
      <c r="J119" s="38">
        <v>171</v>
      </c>
      <c r="K119" s="23">
        <f t="shared" si="2"/>
        <v>1149</v>
      </c>
    </row>
    <row r="120" spans="1:11" ht="16.5" thickBot="1">
      <c r="A120" s="18">
        <f t="shared" si="3"/>
        <v>115</v>
      </c>
      <c r="B120" s="37" t="s">
        <v>320</v>
      </c>
      <c r="C120" s="37" t="s">
        <v>815</v>
      </c>
      <c r="D120" s="36" t="s">
        <v>807</v>
      </c>
      <c r="E120" s="38">
        <v>177</v>
      </c>
      <c r="F120" s="38">
        <v>181</v>
      </c>
      <c r="G120" s="38">
        <v>228</v>
      </c>
      <c r="H120" s="31">
        <v>176</v>
      </c>
      <c r="I120" s="38">
        <v>215</v>
      </c>
      <c r="J120" s="38">
        <v>170</v>
      </c>
      <c r="K120" s="23">
        <f t="shared" si="2"/>
        <v>1147</v>
      </c>
    </row>
    <row r="121" spans="1:11" ht="16.5" thickBot="1">
      <c r="A121" s="18">
        <f t="shared" si="3"/>
        <v>116</v>
      </c>
      <c r="B121" s="37" t="s">
        <v>206</v>
      </c>
      <c r="C121" s="37" t="s">
        <v>207</v>
      </c>
      <c r="D121" s="36" t="s">
        <v>205</v>
      </c>
      <c r="E121" s="38">
        <v>179</v>
      </c>
      <c r="F121" s="38">
        <v>206</v>
      </c>
      <c r="G121" s="38">
        <v>192</v>
      </c>
      <c r="H121" s="31">
        <v>234</v>
      </c>
      <c r="I121" s="38">
        <v>174</v>
      </c>
      <c r="J121" s="38">
        <v>160</v>
      </c>
      <c r="K121" s="23">
        <f t="shared" si="2"/>
        <v>1145</v>
      </c>
    </row>
    <row r="122" spans="1:11" ht="16.5" thickBot="1">
      <c r="A122" s="18">
        <f t="shared" si="3"/>
        <v>117</v>
      </c>
      <c r="B122" s="37" t="s">
        <v>647</v>
      </c>
      <c r="C122" s="37" t="s">
        <v>648</v>
      </c>
      <c r="D122" s="36" t="s">
        <v>643</v>
      </c>
      <c r="E122" s="38">
        <v>199</v>
      </c>
      <c r="F122" s="38">
        <v>207</v>
      </c>
      <c r="G122" s="38">
        <v>192</v>
      </c>
      <c r="H122" s="31">
        <v>188</v>
      </c>
      <c r="I122" s="38">
        <v>177</v>
      </c>
      <c r="J122" s="38">
        <v>181</v>
      </c>
      <c r="K122" s="23">
        <f t="shared" si="2"/>
        <v>1144</v>
      </c>
    </row>
    <row r="123" spans="1:11" ht="16.5" thickBot="1">
      <c r="A123" s="18">
        <f t="shared" si="3"/>
        <v>118</v>
      </c>
      <c r="B123" s="37" t="s">
        <v>45</v>
      </c>
      <c r="C123" s="37" t="s">
        <v>644</v>
      </c>
      <c r="D123" s="36" t="s">
        <v>643</v>
      </c>
      <c r="E123" s="38">
        <v>189</v>
      </c>
      <c r="F123" s="38">
        <v>187</v>
      </c>
      <c r="G123" s="38">
        <v>142</v>
      </c>
      <c r="H123" s="31">
        <v>178</v>
      </c>
      <c r="I123" s="38">
        <v>194</v>
      </c>
      <c r="J123" s="38">
        <v>252</v>
      </c>
      <c r="K123" s="23">
        <f t="shared" si="2"/>
        <v>1142</v>
      </c>
    </row>
    <row r="124" spans="1:11" ht="16.5" thickBot="1">
      <c r="A124" s="18">
        <f t="shared" si="3"/>
        <v>119</v>
      </c>
      <c r="B124" s="37" t="s">
        <v>59</v>
      </c>
      <c r="C124" s="37" t="s">
        <v>166</v>
      </c>
      <c r="D124" s="36" t="s">
        <v>154</v>
      </c>
      <c r="E124" s="38">
        <v>205</v>
      </c>
      <c r="F124" s="38">
        <v>147</v>
      </c>
      <c r="G124" s="38">
        <v>210</v>
      </c>
      <c r="H124" s="31">
        <v>180</v>
      </c>
      <c r="I124" s="38">
        <v>224</v>
      </c>
      <c r="J124" s="38">
        <v>175</v>
      </c>
      <c r="K124" s="23">
        <f t="shared" si="2"/>
        <v>1141</v>
      </c>
    </row>
    <row r="125" spans="1:11" ht="16.5" thickBot="1">
      <c r="A125" s="18">
        <f t="shared" si="3"/>
        <v>120</v>
      </c>
      <c r="B125" s="37" t="s">
        <v>320</v>
      </c>
      <c r="C125" s="37" t="s">
        <v>787</v>
      </c>
      <c r="D125" s="36" t="s">
        <v>781</v>
      </c>
      <c r="E125" s="38">
        <v>183</v>
      </c>
      <c r="F125" s="38">
        <v>212</v>
      </c>
      <c r="G125" s="38">
        <v>149</v>
      </c>
      <c r="H125" s="31">
        <v>232</v>
      </c>
      <c r="I125" s="38">
        <v>169</v>
      </c>
      <c r="J125" s="38">
        <v>196</v>
      </c>
      <c r="K125" s="23">
        <f t="shared" si="2"/>
        <v>1141</v>
      </c>
    </row>
    <row r="126" spans="1:11" ht="16.5" thickBot="1">
      <c r="A126" s="18">
        <f t="shared" si="3"/>
        <v>121</v>
      </c>
      <c r="B126" s="37" t="s">
        <v>75</v>
      </c>
      <c r="C126" s="37" t="s">
        <v>282</v>
      </c>
      <c r="D126" s="36" t="s">
        <v>281</v>
      </c>
      <c r="E126" s="38">
        <v>165</v>
      </c>
      <c r="F126" s="38">
        <v>168</v>
      </c>
      <c r="G126" s="38">
        <v>183</v>
      </c>
      <c r="H126" s="31">
        <v>177</v>
      </c>
      <c r="I126" s="38">
        <v>213</v>
      </c>
      <c r="J126" s="38">
        <v>234</v>
      </c>
      <c r="K126" s="23">
        <f t="shared" si="2"/>
        <v>1140</v>
      </c>
    </row>
    <row r="127" spans="1:11" ht="16.5" thickBot="1">
      <c r="A127" s="18">
        <f t="shared" si="3"/>
        <v>122</v>
      </c>
      <c r="B127" s="37" t="s">
        <v>234</v>
      </c>
      <c r="C127" s="37" t="s">
        <v>235</v>
      </c>
      <c r="D127" s="36" t="s">
        <v>231</v>
      </c>
      <c r="E127" s="38">
        <v>150</v>
      </c>
      <c r="F127" s="38">
        <v>201</v>
      </c>
      <c r="G127" s="38">
        <v>191</v>
      </c>
      <c r="H127" s="31">
        <v>219</v>
      </c>
      <c r="I127" s="38">
        <v>188</v>
      </c>
      <c r="J127" s="38">
        <v>190</v>
      </c>
      <c r="K127" s="23">
        <f t="shared" si="2"/>
        <v>1139</v>
      </c>
    </row>
    <row r="128" spans="1:11" ht="16.5" thickBot="1">
      <c r="A128" s="18">
        <f t="shared" si="3"/>
        <v>123</v>
      </c>
      <c r="B128" s="37" t="s">
        <v>45</v>
      </c>
      <c r="C128" s="37" t="s">
        <v>62</v>
      </c>
      <c r="D128" s="36" t="s">
        <v>61</v>
      </c>
      <c r="E128" s="38">
        <v>181</v>
      </c>
      <c r="F128" s="38">
        <v>181</v>
      </c>
      <c r="G128" s="38">
        <v>177</v>
      </c>
      <c r="H128" s="31">
        <v>189</v>
      </c>
      <c r="I128" s="38">
        <v>241</v>
      </c>
      <c r="J128" s="38">
        <v>169</v>
      </c>
      <c r="K128" s="23">
        <f t="shared" si="2"/>
        <v>1138</v>
      </c>
    </row>
    <row r="129" spans="1:11" ht="16.5" thickBot="1">
      <c r="A129" s="18">
        <f t="shared" si="3"/>
        <v>124</v>
      </c>
      <c r="B129" s="37" t="s">
        <v>615</v>
      </c>
      <c r="C129" s="37" t="s">
        <v>616</v>
      </c>
      <c r="D129" s="36" t="s">
        <v>607</v>
      </c>
      <c r="E129" s="38">
        <v>176</v>
      </c>
      <c r="F129" s="38">
        <v>175</v>
      </c>
      <c r="G129" s="38">
        <v>235</v>
      </c>
      <c r="H129" s="31">
        <v>183</v>
      </c>
      <c r="I129" s="38">
        <v>169</v>
      </c>
      <c r="J129" s="38">
        <v>199</v>
      </c>
      <c r="K129" s="23">
        <f t="shared" si="2"/>
        <v>1137</v>
      </c>
    </row>
    <row r="130" spans="1:11" ht="16.5" thickBot="1">
      <c r="A130" s="18">
        <f t="shared" si="3"/>
        <v>125</v>
      </c>
      <c r="B130" s="37" t="s">
        <v>89</v>
      </c>
      <c r="C130" s="37" t="s">
        <v>184</v>
      </c>
      <c r="D130" s="36" t="s">
        <v>180</v>
      </c>
      <c r="E130" s="38">
        <v>194</v>
      </c>
      <c r="F130" s="38">
        <v>190</v>
      </c>
      <c r="G130" s="38">
        <v>125</v>
      </c>
      <c r="H130" s="31">
        <v>177</v>
      </c>
      <c r="I130" s="38">
        <v>203</v>
      </c>
      <c r="J130" s="38">
        <v>247</v>
      </c>
      <c r="K130" s="23">
        <f t="shared" si="2"/>
        <v>1136</v>
      </c>
    </row>
    <row r="131" spans="1:11" ht="16.5" thickBot="1">
      <c r="A131" s="18">
        <f t="shared" si="3"/>
        <v>126</v>
      </c>
      <c r="B131" s="37" t="s">
        <v>130</v>
      </c>
      <c r="C131" s="37" t="s">
        <v>131</v>
      </c>
      <c r="D131" s="36" t="s">
        <v>127</v>
      </c>
      <c r="E131" s="38">
        <v>195</v>
      </c>
      <c r="F131" s="38">
        <v>185</v>
      </c>
      <c r="G131" s="38">
        <v>150</v>
      </c>
      <c r="H131" s="31">
        <v>158</v>
      </c>
      <c r="I131" s="38">
        <v>233</v>
      </c>
      <c r="J131" s="38">
        <v>214</v>
      </c>
      <c r="K131" s="23">
        <f t="shared" si="2"/>
        <v>1135</v>
      </c>
    </row>
    <row r="132" spans="1:11" ht="16.5" thickBot="1">
      <c r="A132" s="18">
        <f t="shared" si="3"/>
        <v>127</v>
      </c>
      <c r="B132" s="37" t="s">
        <v>83</v>
      </c>
      <c r="C132" s="37" t="s">
        <v>564</v>
      </c>
      <c r="D132" s="36" t="s">
        <v>557</v>
      </c>
      <c r="E132" s="38">
        <v>199</v>
      </c>
      <c r="F132" s="38">
        <v>131</v>
      </c>
      <c r="G132" s="38">
        <v>183</v>
      </c>
      <c r="H132" s="31">
        <v>198</v>
      </c>
      <c r="I132" s="38">
        <v>213</v>
      </c>
      <c r="J132" s="38">
        <v>211</v>
      </c>
      <c r="K132" s="23">
        <f t="shared" si="2"/>
        <v>1135</v>
      </c>
    </row>
    <row r="133" spans="1:11" ht="16.5" thickBot="1">
      <c r="A133" s="18">
        <f t="shared" si="3"/>
        <v>128</v>
      </c>
      <c r="B133" s="37" t="s">
        <v>164</v>
      </c>
      <c r="C133" s="37" t="s">
        <v>165</v>
      </c>
      <c r="D133" s="36" t="s">
        <v>154</v>
      </c>
      <c r="E133" s="38"/>
      <c r="F133" s="38">
        <v>209</v>
      </c>
      <c r="G133" s="38">
        <v>222</v>
      </c>
      <c r="H133" s="31">
        <v>226</v>
      </c>
      <c r="I133" s="38">
        <v>211</v>
      </c>
      <c r="J133" s="38">
        <v>265</v>
      </c>
      <c r="K133" s="23">
        <f t="shared" si="2"/>
        <v>1133</v>
      </c>
    </row>
    <row r="134" spans="1:11" ht="16.5" thickBot="1">
      <c r="A134" s="18">
        <f t="shared" si="3"/>
        <v>129</v>
      </c>
      <c r="B134" s="37" t="s">
        <v>390</v>
      </c>
      <c r="C134" s="37" t="s">
        <v>391</v>
      </c>
      <c r="D134" s="36" t="s">
        <v>387</v>
      </c>
      <c r="E134" s="38">
        <v>172</v>
      </c>
      <c r="F134" s="38">
        <v>165</v>
      </c>
      <c r="G134" s="38">
        <v>160</v>
      </c>
      <c r="H134" s="31">
        <v>176</v>
      </c>
      <c r="I134" s="38">
        <v>266</v>
      </c>
      <c r="J134" s="38">
        <v>192</v>
      </c>
      <c r="K134" s="23">
        <f t="shared" ref="K134:K197" si="4">SUM(E134:J134)</f>
        <v>1131</v>
      </c>
    </row>
    <row r="135" spans="1:11" ht="16.5" thickBot="1">
      <c r="A135" s="18">
        <f t="shared" si="3"/>
        <v>130</v>
      </c>
      <c r="B135" s="37" t="s">
        <v>349</v>
      </c>
      <c r="C135" s="37" t="s">
        <v>726</v>
      </c>
      <c r="D135" s="36" t="s">
        <v>720</v>
      </c>
      <c r="E135" s="38">
        <v>173</v>
      </c>
      <c r="F135" s="38">
        <v>156</v>
      </c>
      <c r="G135" s="38">
        <v>157</v>
      </c>
      <c r="H135" s="31">
        <v>174</v>
      </c>
      <c r="I135" s="38">
        <v>246</v>
      </c>
      <c r="J135" s="38">
        <v>225</v>
      </c>
      <c r="K135" s="23">
        <f t="shared" si="4"/>
        <v>1131</v>
      </c>
    </row>
    <row r="136" spans="1:11" ht="16.5" thickBot="1">
      <c r="A136" s="18">
        <f t="shared" ref="A136:A199" si="5">A135+1</f>
        <v>131</v>
      </c>
      <c r="B136" s="37" t="s">
        <v>813</v>
      </c>
      <c r="C136" s="37" t="s">
        <v>814</v>
      </c>
      <c r="D136" s="36" t="s">
        <v>807</v>
      </c>
      <c r="E136" s="38">
        <v>128</v>
      </c>
      <c r="F136" s="38">
        <v>208</v>
      </c>
      <c r="G136" s="38">
        <v>169</v>
      </c>
      <c r="H136" s="31">
        <v>200</v>
      </c>
      <c r="I136" s="38">
        <v>222</v>
      </c>
      <c r="J136" s="38">
        <v>202</v>
      </c>
      <c r="K136" s="23">
        <f t="shared" si="4"/>
        <v>1129</v>
      </c>
    </row>
    <row r="137" spans="1:11" ht="16.5" thickBot="1">
      <c r="A137" s="18">
        <f t="shared" si="5"/>
        <v>132</v>
      </c>
      <c r="B137" s="37" t="s">
        <v>23</v>
      </c>
      <c r="C137" s="37" t="s">
        <v>163</v>
      </c>
      <c r="D137" s="36" t="s">
        <v>154</v>
      </c>
      <c r="E137" s="38">
        <v>235</v>
      </c>
      <c r="F137" s="38">
        <v>148</v>
      </c>
      <c r="G137" s="38">
        <v>161</v>
      </c>
      <c r="H137" s="31">
        <v>184</v>
      </c>
      <c r="I137" s="38">
        <v>180</v>
      </c>
      <c r="J137" s="38">
        <v>219</v>
      </c>
      <c r="K137" s="23">
        <f t="shared" si="4"/>
        <v>1127</v>
      </c>
    </row>
    <row r="138" spans="1:11" ht="16.5" thickBot="1">
      <c r="A138" s="18">
        <f t="shared" si="5"/>
        <v>133</v>
      </c>
      <c r="B138" s="37" t="s">
        <v>245</v>
      </c>
      <c r="C138" s="37" t="s">
        <v>489</v>
      </c>
      <c r="D138" s="36" t="s">
        <v>479</v>
      </c>
      <c r="E138" s="38">
        <v>171</v>
      </c>
      <c r="F138" s="38">
        <v>151</v>
      </c>
      <c r="G138" s="38">
        <v>190</v>
      </c>
      <c r="H138" s="31">
        <v>187</v>
      </c>
      <c r="I138" s="38">
        <v>214</v>
      </c>
      <c r="J138" s="38">
        <v>214</v>
      </c>
      <c r="K138" s="23">
        <f t="shared" si="4"/>
        <v>1127</v>
      </c>
    </row>
    <row r="139" spans="1:11" ht="16.5" thickBot="1">
      <c r="A139" s="18">
        <f t="shared" si="5"/>
        <v>134</v>
      </c>
      <c r="B139" s="37" t="s">
        <v>326</v>
      </c>
      <c r="C139" s="37" t="s">
        <v>327</v>
      </c>
      <c r="D139" s="36" t="s">
        <v>318</v>
      </c>
      <c r="E139" s="38">
        <v>167</v>
      </c>
      <c r="F139" s="38">
        <v>167</v>
      </c>
      <c r="G139" s="38">
        <v>193</v>
      </c>
      <c r="H139" s="31">
        <v>179</v>
      </c>
      <c r="I139" s="38">
        <v>162</v>
      </c>
      <c r="J139" s="38">
        <v>258</v>
      </c>
      <c r="K139" s="23">
        <f t="shared" si="4"/>
        <v>1126</v>
      </c>
    </row>
    <row r="140" spans="1:11" ht="16.5" thickBot="1">
      <c r="A140" s="18">
        <f t="shared" si="5"/>
        <v>135</v>
      </c>
      <c r="B140" s="37" t="s">
        <v>500</v>
      </c>
      <c r="C140" s="37" t="s">
        <v>267</v>
      </c>
      <c r="D140" s="36" t="s">
        <v>490</v>
      </c>
      <c r="E140" s="38">
        <v>185</v>
      </c>
      <c r="F140" s="38">
        <v>221</v>
      </c>
      <c r="G140" s="38">
        <v>175</v>
      </c>
      <c r="H140" s="31">
        <v>167</v>
      </c>
      <c r="I140" s="38">
        <v>205</v>
      </c>
      <c r="J140" s="38">
        <v>172</v>
      </c>
      <c r="K140" s="23">
        <f t="shared" si="4"/>
        <v>1125</v>
      </c>
    </row>
    <row r="141" spans="1:11" ht="16.5" thickBot="1">
      <c r="A141" s="18">
        <f t="shared" si="5"/>
        <v>136</v>
      </c>
      <c r="B141" s="37" t="s">
        <v>378</v>
      </c>
      <c r="C141" s="37" t="s">
        <v>379</v>
      </c>
      <c r="D141" s="36" t="s">
        <v>373</v>
      </c>
      <c r="E141" s="38">
        <v>189</v>
      </c>
      <c r="F141" s="38">
        <v>187</v>
      </c>
      <c r="G141" s="38">
        <v>157</v>
      </c>
      <c r="H141" s="31">
        <v>179</v>
      </c>
      <c r="I141" s="38">
        <v>208</v>
      </c>
      <c r="J141" s="38">
        <v>200</v>
      </c>
      <c r="K141" s="23">
        <f t="shared" si="4"/>
        <v>1120</v>
      </c>
    </row>
    <row r="142" spans="1:11" ht="16.5" thickBot="1">
      <c r="A142" s="18">
        <f t="shared" si="5"/>
        <v>137</v>
      </c>
      <c r="B142" s="37" t="s">
        <v>498</v>
      </c>
      <c r="C142" s="37" t="s">
        <v>571</v>
      </c>
      <c r="D142" s="36" t="s">
        <v>565</v>
      </c>
      <c r="E142" s="38">
        <v>179</v>
      </c>
      <c r="F142" s="38">
        <v>156</v>
      </c>
      <c r="G142" s="38">
        <v>201</v>
      </c>
      <c r="H142" s="31">
        <v>171</v>
      </c>
      <c r="I142" s="38">
        <v>210</v>
      </c>
      <c r="J142" s="38">
        <v>203</v>
      </c>
      <c r="K142" s="23">
        <f t="shared" si="4"/>
        <v>1120</v>
      </c>
    </row>
    <row r="143" spans="1:11" ht="16.5" thickBot="1">
      <c r="A143" s="18">
        <f t="shared" si="5"/>
        <v>138</v>
      </c>
      <c r="B143" s="37" t="s">
        <v>326</v>
      </c>
      <c r="C143" s="37" t="s">
        <v>471</v>
      </c>
      <c r="D143" s="36" t="s">
        <v>464</v>
      </c>
      <c r="E143" s="38">
        <v>160</v>
      </c>
      <c r="F143" s="38">
        <v>170</v>
      </c>
      <c r="G143" s="38">
        <v>180</v>
      </c>
      <c r="H143" s="31">
        <v>192</v>
      </c>
      <c r="I143" s="38">
        <v>215</v>
      </c>
      <c r="J143" s="38">
        <v>202</v>
      </c>
      <c r="K143" s="23">
        <f t="shared" si="4"/>
        <v>1119</v>
      </c>
    </row>
    <row r="144" spans="1:11" ht="16.5" thickBot="1">
      <c r="A144" s="18">
        <f t="shared" si="5"/>
        <v>139</v>
      </c>
      <c r="B144" s="37" t="s">
        <v>59</v>
      </c>
      <c r="C144" s="37" t="s">
        <v>362</v>
      </c>
      <c r="D144" s="36" t="s">
        <v>353</v>
      </c>
      <c r="E144" s="38">
        <v>189</v>
      </c>
      <c r="F144" s="38">
        <v>168</v>
      </c>
      <c r="G144" s="38">
        <v>168</v>
      </c>
      <c r="H144" s="31">
        <v>211</v>
      </c>
      <c r="I144" s="38">
        <v>177</v>
      </c>
      <c r="J144" s="38">
        <v>205</v>
      </c>
      <c r="K144" s="23">
        <f t="shared" si="4"/>
        <v>1118</v>
      </c>
    </row>
    <row r="145" spans="1:11" ht="16.5" thickBot="1">
      <c r="A145" s="18">
        <f t="shared" si="5"/>
        <v>140</v>
      </c>
      <c r="B145" s="37" t="s">
        <v>92</v>
      </c>
      <c r="C145" s="37" t="s">
        <v>138</v>
      </c>
      <c r="D145" s="36" t="s">
        <v>127</v>
      </c>
      <c r="E145" s="38">
        <v>179</v>
      </c>
      <c r="F145" s="38">
        <v>157</v>
      </c>
      <c r="G145" s="38">
        <v>199</v>
      </c>
      <c r="H145" s="31">
        <v>161</v>
      </c>
      <c r="I145" s="38">
        <v>225</v>
      </c>
      <c r="J145" s="38">
        <v>196</v>
      </c>
      <c r="K145" s="23">
        <f t="shared" si="4"/>
        <v>1117</v>
      </c>
    </row>
    <row r="146" spans="1:11" ht="16.5" thickBot="1">
      <c r="A146" s="18">
        <f t="shared" si="5"/>
        <v>141</v>
      </c>
      <c r="B146" s="37" t="s">
        <v>250</v>
      </c>
      <c r="C146" s="37" t="s">
        <v>551</v>
      </c>
      <c r="D146" s="36" t="s">
        <v>547</v>
      </c>
      <c r="E146" s="38">
        <v>206</v>
      </c>
      <c r="F146" s="38">
        <v>213</v>
      </c>
      <c r="G146" s="38">
        <v>176</v>
      </c>
      <c r="H146" s="31">
        <v>182</v>
      </c>
      <c r="I146" s="38">
        <v>166</v>
      </c>
      <c r="J146" s="38">
        <v>174</v>
      </c>
      <c r="K146" s="23">
        <f t="shared" si="4"/>
        <v>1117</v>
      </c>
    </row>
    <row r="147" spans="1:11" ht="16.5" thickBot="1">
      <c r="A147" s="18">
        <f t="shared" si="5"/>
        <v>142</v>
      </c>
      <c r="B147" s="37" t="s">
        <v>567</v>
      </c>
      <c r="C147" s="37" t="s">
        <v>568</v>
      </c>
      <c r="D147" s="36" t="s">
        <v>565</v>
      </c>
      <c r="E147" s="38">
        <v>135</v>
      </c>
      <c r="F147" s="38">
        <v>138</v>
      </c>
      <c r="G147" s="38">
        <v>192</v>
      </c>
      <c r="H147" s="31">
        <v>157</v>
      </c>
      <c r="I147" s="38">
        <v>236</v>
      </c>
      <c r="J147" s="38">
        <v>259</v>
      </c>
      <c r="K147" s="23">
        <f t="shared" si="4"/>
        <v>1117</v>
      </c>
    </row>
    <row r="148" spans="1:11" ht="16.5" thickBot="1">
      <c r="A148" s="18">
        <f t="shared" si="5"/>
        <v>143</v>
      </c>
      <c r="B148" s="37" t="s">
        <v>722</v>
      </c>
      <c r="C148" s="37" t="s">
        <v>723</v>
      </c>
      <c r="D148" s="36" t="s">
        <v>720</v>
      </c>
      <c r="E148" s="38">
        <v>181</v>
      </c>
      <c r="F148" s="38">
        <v>193</v>
      </c>
      <c r="G148" s="38">
        <v>146</v>
      </c>
      <c r="H148" s="31">
        <v>199</v>
      </c>
      <c r="I148" s="38">
        <v>225</v>
      </c>
      <c r="J148" s="38">
        <v>171</v>
      </c>
      <c r="K148" s="23">
        <f t="shared" si="4"/>
        <v>1115</v>
      </c>
    </row>
    <row r="149" spans="1:11" ht="16.5" thickBot="1">
      <c r="A149" s="18">
        <f t="shared" si="5"/>
        <v>144</v>
      </c>
      <c r="B149" s="37" t="s">
        <v>150</v>
      </c>
      <c r="C149" s="37" t="s">
        <v>48</v>
      </c>
      <c r="D149" s="36" t="s">
        <v>848</v>
      </c>
      <c r="E149" s="38">
        <v>162</v>
      </c>
      <c r="F149" s="38">
        <v>176</v>
      </c>
      <c r="G149" s="38">
        <v>186</v>
      </c>
      <c r="H149" s="31">
        <v>208</v>
      </c>
      <c r="I149" s="38">
        <v>219</v>
      </c>
      <c r="J149" s="38">
        <v>164</v>
      </c>
      <c r="K149" s="23">
        <f t="shared" si="4"/>
        <v>1115</v>
      </c>
    </row>
    <row r="150" spans="1:11" ht="16.5" thickBot="1">
      <c r="A150" s="18">
        <f t="shared" si="5"/>
        <v>145</v>
      </c>
      <c r="B150" s="37" t="s">
        <v>83</v>
      </c>
      <c r="C150" s="37" t="s">
        <v>303</v>
      </c>
      <c r="D150" s="36" t="s">
        <v>295</v>
      </c>
      <c r="E150" s="38">
        <v>156</v>
      </c>
      <c r="F150" s="38">
        <v>168</v>
      </c>
      <c r="G150" s="38">
        <v>194</v>
      </c>
      <c r="H150" s="31">
        <v>184</v>
      </c>
      <c r="I150" s="38">
        <v>195</v>
      </c>
      <c r="J150" s="38">
        <v>215</v>
      </c>
      <c r="K150" s="23">
        <f t="shared" si="4"/>
        <v>1112</v>
      </c>
    </row>
    <row r="151" spans="1:11" ht="16.5" thickBot="1">
      <c r="A151" s="18">
        <f t="shared" si="5"/>
        <v>146</v>
      </c>
      <c r="B151" s="37" t="s">
        <v>573</v>
      </c>
      <c r="C151" s="37" t="s">
        <v>574</v>
      </c>
      <c r="D151" s="36" t="s">
        <v>565</v>
      </c>
      <c r="E151" s="38">
        <v>165</v>
      </c>
      <c r="F151" s="38">
        <v>192</v>
      </c>
      <c r="G151" s="38">
        <v>213</v>
      </c>
      <c r="H151" s="31">
        <v>177</v>
      </c>
      <c r="I151" s="38">
        <v>200</v>
      </c>
      <c r="J151" s="38">
        <v>165</v>
      </c>
      <c r="K151" s="23">
        <f t="shared" si="4"/>
        <v>1112</v>
      </c>
    </row>
    <row r="152" spans="1:11" ht="16.5" thickBot="1">
      <c r="A152" s="18">
        <f t="shared" si="5"/>
        <v>147</v>
      </c>
      <c r="B152" s="37" t="s">
        <v>355</v>
      </c>
      <c r="C152" s="37" t="s">
        <v>356</v>
      </c>
      <c r="D152" s="36" t="s">
        <v>353</v>
      </c>
      <c r="E152" s="38">
        <v>168</v>
      </c>
      <c r="F152" s="38">
        <v>161</v>
      </c>
      <c r="G152" s="38">
        <v>218</v>
      </c>
      <c r="H152" s="31">
        <v>179</v>
      </c>
      <c r="I152" s="38">
        <v>222</v>
      </c>
      <c r="J152" s="38">
        <v>160</v>
      </c>
      <c r="K152" s="23">
        <f t="shared" si="4"/>
        <v>1108</v>
      </c>
    </row>
    <row r="153" spans="1:11" ht="16.5" thickBot="1">
      <c r="A153" s="18">
        <f t="shared" si="5"/>
        <v>148</v>
      </c>
      <c r="B153" s="37" t="s">
        <v>63</v>
      </c>
      <c r="C153" s="37" t="s">
        <v>64</v>
      </c>
      <c r="D153" s="36" t="s">
        <v>61</v>
      </c>
      <c r="E153" s="38">
        <v>135</v>
      </c>
      <c r="F153" s="38">
        <v>189</v>
      </c>
      <c r="G153" s="38">
        <v>185</v>
      </c>
      <c r="H153" s="31">
        <v>208</v>
      </c>
      <c r="I153" s="38">
        <v>185</v>
      </c>
      <c r="J153" s="38">
        <v>204</v>
      </c>
      <c r="K153" s="23">
        <f t="shared" si="4"/>
        <v>1106</v>
      </c>
    </row>
    <row r="154" spans="1:11" ht="16.5" thickBot="1">
      <c r="A154" s="18">
        <f t="shared" si="5"/>
        <v>149</v>
      </c>
      <c r="B154" s="37" t="s">
        <v>374</v>
      </c>
      <c r="C154" s="37" t="s">
        <v>375</v>
      </c>
      <c r="D154" s="36" t="s">
        <v>373</v>
      </c>
      <c r="E154" s="38">
        <v>154</v>
      </c>
      <c r="F154" s="38">
        <v>166</v>
      </c>
      <c r="G154" s="38">
        <v>257</v>
      </c>
      <c r="H154" s="31">
        <v>156</v>
      </c>
      <c r="I154" s="38">
        <v>182</v>
      </c>
      <c r="J154" s="38">
        <v>191</v>
      </c>
      <c r="K154" s="23">
        <f t="shared" si="4"/>
        <v>1106</v>
      </c>
    </row>
    <row r="155" spans="1:11" ht="16.5" thickBot="1">
      <c r="A155" s="18">
        <f t="shared" si="5"/>
        <v>150</v>
      </c>
      <c r="B155" s="37" t="s">
        <v>264</v>
      </c>
      <c r="C155" s="37" t="s">
        <v>265</v>
      </c>
      <c r="D155" s="36" t="s">
        <v>262</v>
      </c>
      <c r="E155" s="38">
        <v>203</v>
      </c>
      <c r="F155" s="38">
        <v>214</v>
      </c>
      <c r="G155" s="38">
        <v>164</v>
      </c>
      <c r="H155" s="31">
        <v>162</v>
      </c>
      <c r="I155" s="38">
        <v>190</v>
      </c>
      <c r="J155" s="38">
        <v>172</v>
      </c>
      <c r="K155" s="23">
        <f t="shared" si="4"/>
        <v>1105</v>
      </c>
    </row>
    <row r="156" spans="1:11" ht="16.5" thickBot="1">
      <c r="A156" s="18">
        <f t="shared" si="5"/>
        <v>151</v>
      </c>
      <c r="B156" s="37" t="s">
        <v>18</v>
      </c>
      <c r="C156" s="37" t="s">
        <v>17</v>
      </c>
      <c r="D156" s="36" t="s">
        <v>13</v>
      </c>
      <c r="E156" s="38">
        <v>207</v>
      </c>
      <c r="F156" s="38">
        <v>198</v>
      </c>
      <c r="G156" s="38">
        <v>164</v>
      </c>
      <c r="H156" s="31">
        <v>164</v>
      </c>
      <c r="I156" s="38">
        <v>201</v>
      </c>
      <c r="J156" s="38">
        <v>170</v>
      </c>
      <c r="K156" s="23">
        <f t="shared" si="4"/>
        <v>1104</v>
      </c>
    </row>
    <row r="157" spans="1:11" ht="16.5" thickBot="1">
      <c r="A157" s="18">
        <f t="shared" si="5"/>
        <v>152</v>
      </c>
      <c r="B157" s="37" t="s">
        <v>289</v>
      </c>
      <c r="C157" s="37" t="s">
        <v>290</v>
      </c>
      <c r="D157" s="36" t="s">
        <v>281</v>
      </c>
      <c r="E157" s="38">
        <v>191</v>
      </c>
      <c r="F157" s="38">
        <v>183</v>
      </c>
      <c r="G157" s="38">
        <v>172</v>
      </c>
      <c r="H157" s="31">
        <v>214</v>
      </c>
      <c r="I157" s="38">
        <v>178</v>
      </c>
      <c r="J157" s="38">
        <v>166</v>
      </c>
      <c r="K157" s="23">
        <f t="shared" si="4"/>
        <v>1104</v>
      </c>
    </row>
    <row r="158" spans="1:11" ht="16.5" thickBot="1">
      <c r="A158" s="18">
        <f t="shared" si="5"/>
        <v>153</v>
      </c>
      <c r="B158" s="37" t="s">
        <v>344</v>
      </c>
      <c r="C158" s="37" t="s">
        <v>427</v>
      </c>
      <c r="D158" s="36" t="s">
        <v>751</v>
      </c>
      <c r="E158" s="38">
        <v>194</v>
      </c>
      <c r="F158" s="38">
        <v>181</v>
      </c>
      <c r="G158" s="38">
        <v>168</v>
      </c>
      <c r="H158" s="31">
        <v>208</v>
      </c>
      <c r="I158" s="38">
        <v>161</v>
      </c>
      <c r="J158" s="38">
        <v>192</v>
      </c>
      <c r="K158" s="23">
        <f t="shared" si="4"/>
        <v>1104</v>
      </c>
    </row>
    <row r="159" spans="1:11" ht="16.5" thickBot="1">
      <c r="A159" s="18">
        <f t="shared" si="5"/>
        <v>154</v>
      </c>
      <c r="B159" s="37" t="s">
        <v>75</v>
      </c>
      <c r="C159" s="37" t="s">
        <v>76</v>
      </c>
      <c r="D159" s="36" t="s">
        <v>74</v>
      </c>
      <c r="E159" s="38">
        <v>171</v>
      </c>
      <c r="F159" s="38">
        <v>168</v>
      </c>
      <c r="G159" s="38">
        <v>144</v>
      </c>
      <c r="H159" s="31">
        <v>176</v>
      </c>
      <c r="I159" s="38">
        <v>225</v>
      </c>
      <c r="J159" s="38">
        <v>219</v>
      </c>
      <c r="K159" s="23">
        <f t="shared" si="4"/>
        <v>1103</v>
      </c>
    </row>
    <row r="160" spans="1:11" ht="16.5" thickBot="1">
      <c r="A160" s="18">
        <f t="shared" si="5"/>
        <v>155</v>
      </c>
      <c r="B160" s="37" t="s">
        <v>132</v>
      </c>
      <c r="C160" s="37" t="s">
        <v>133</v>
      </c>
      <c r="D160" s="36" t="s">
        <v>127</v>
      </c>
      <c r="E160" s="38">
        <v>187</v>
      </c>
      <c r="F160" s="38">
        <v>196</v>
      </c>
      <c r="G160" s="38">
        <v>170</v>
      </c>
      <c r="H160" s="31">
        <v>159</v>
      </c>
      <c r="I160" s="38">
        <v>179</v>
      </c>
      <c r="J160" s="38">
        <v>212</v>
      </c>
      <c r="K160" s="23">
        <f t="shared" si="4"/>
        <v>1103</v>
      </c>
    </row>
    <row r="161" spans="1:11" ht="16.5" thickBot="1">
      <c r="A161" s="18">
        <f t="shared" si="5"/>
        <v>156</v>
      </c>
      <c r="B161" s="37" t="s">
        <v>669</v>
      </c>
      <c r="C161" s="37" t="s">
        <v>715</v>
      </c>
      <c r="D161" s="36" t="s">
        <v>713</v>
      </c>
      <c r="E161" s="38">
        <v>172</v>
      </c>
      <c r="F161" s="38">
        <v>189</v>
      </c>
      <c r="G161" s="38">
        <v>186</v>
      </c>
      <c r="H161" s="31">
        <v>215</v>
      </c>
      <c r="I161" s="38">
        <v>176</v>
      </c>
      <c r="J161" s="38">
        <v>165</v>
      </c>
      <c r="K161" s="23">
        <f t="shared" si="4"/>
        <v>1103</v>
      </c>
    </row>
    <row r="162" spans="1:11" ht="16.5" thickBot="1">
      <c r="A162" s="18">
        <f t="shared" si="5"/>
        <v>157</v>
      </c>
      <c r="B162" s="37" t="s">
        <v>313</v>
      </c>
      <c r="C162" s="37" t="s">
        <v>758</v>
      </c>
      <c r="D162" s="36" t="s">
        <v>751</v>
      </c>
      <c r="E162" s="38">
        <v>200</v>
      </c>
      <c r="F162" s="38">
        <v>186</v>
      </c>
      <c r="G162" s="38">
        <v>175</v>
      </c>
      <c r="H162" s="31">
        <v>189</v>
      </c>
      <c r="I162" s="38">
        <v>187</v>
      </c>
      <c r="J162" s="38">
        <v>165</v>
      </c>
      <c r="K162" s="23">
        <f t="shared" si="4"/>
        <v>1102</v>
      </c>
    </row>
    <row r="163" spans="1:11" ht="16.5" thickBot="1">
      <c r="A163" s="18">
        <f t="shared" si="5"/>
        <v>158</v>
      </c>
      <c r="B163" s="37" t="s">
        <v>793</v>
      </c>
      <c r="C163" s="37" t="s">
        <v>794</v>
      </c>
      <c r="D163" s="36" t="s">
        <v>789</v>
      </c>
      <c r="E163" s="38">
        <v>188</v>
      </c>
      <c r="F163" s="38">
        <v>195</v>
      </c>
      <c r="G163" s="38">
        <v>207</v>
      </c>
      <c r="H163" s="31">
        <v>180</v>
      </c>
      <c r="I163" s="38">
        <v>181</v>
      </c>
      <c r="J163" s="38">
        <v>150</v>
      </c>
      <c r="K163" s="23">
        <f t="shared" si="4"/>
        <v>1101</v>
      </c>
    </row>
    <row r="164" spans="1:11" ht="16.5" thickBot="1">
      <c r="A164" s="18">
        <f t="shared" si="5"/>
        <v>159</v>
      </c>
      <c r="B164" s="37" t="s">
        <v>245</v>
      </c>
      <c r="C164" s="37" t="s">
        <v>309</v>
      </c>
      <c r="D164" s="36" t="s">
        <v>304</v>
      </c>
      <c r="E164" s="38">
        <v>190</v>
      </c>
      <c r="F164" s="38">
        <v>180</v>
      </c>
      <c r="G164" s="38">
        <v>164</v>
      </c>
      <c r="H164" s="31">
        <v>223</v>
      </c>
      <c r="I164" s="38">
        <v>171</v>
      </c>
      <c r="J164" s="38">
        <v>172</v>
      </c>
      <c r="K164" s="23">
        <f t="shared" si="4"/>
        <v>1100</v>
      </c>
    </row>
    <row r="165" spans="1:11" ht="16.5" thickBot="1">
      <c r="A165" s="18">
        <f t="shared" si="5"/>
        <v>160</v>
      </c>
      <c r="B165" s="37" t="s">
        <v>105</v>
      </c>
      <c r="C165" s="37" t="s">
        <v>106</v>
      </c>
      <c r="D165" s="36" t="s">
        <v>98</v>
      </c>
      <c r="E165" s="38">
        <v>232</v>
      </c>
      <c r="F165" s="38">
        <v>170</v>
      </c>
      <c r="G165" s="38">
        <v>184</v>
      </c>
      <c r="H165" s="31">
        <v>174</v>
      </c>
      <c r="I165" s="38">
        <v>189</v>
      </c>
      <c r="J165" s="38">
        <v>148</v>
      </c>
      <c r="K165" s="23">
        <f t="shared" si="4"/>
        <v>1097</v>
      </c>
    </row>
    <row r="166" spans="1:11" ht="16.5" thickBot="1">
      <c r="A166" s="18">
        <f t="shared" si="5"/>
        <v>161</v>
      </c>
      <c r="B166" s="37" t="s">
        <v>443</v>
      </c>
      <c r="C166" s="37" t="s">
        <v>444</v>
      </c>
      <c r="D166" s="36" t="s">
        <v>438</v>
      </c>
      <c r="E166" s="38">
        <v>169</v>
      </c>
      <c r="F166" s="38">
        <v>245</v>
      </c>
      <c r="G166" s="38">
        <v>159</v>
      </c>
      <c r="H166" s="31">
        <v>183</v>
      </c>
      <c r="I166" s="38">
        <v>164</v>
      </c>
      <c r="J166" s="38">
        <v>177</v>
      </c>
      <c r="K166" s="23">
        <f t="shared" si="4"/>
        <v>1097</v>
      </c>
    </row>
    <row r="167" spans="1:11" ht="16.5" thickBot="1">
      <c r="A167" s="18">
        <f t="shared" si="5"/>
        <v>162</v>
      </c>
      <c r="B167" s="37" t="s">
        <v>199</v>
      </c>
      <c r="C167" s="37" t="s">
        <v>581</v>
      </c>
      <c r="D167" s="36" t="s">
        <v>575</v>
      </c>
      <c r="E167" s="38">
        <v>171</v>
      </c>
      <c r="F167" s="38">
        <v>170</v>
      </c>
      <c r="G167" s="38">
        <v>186</v>
      </c>
      <c r="H167" s="31">
        <v>174</v>
      </c>
      <c r="I167" s="38">
        <v>192</v>
      </c>
      <c r="J167" s="38">
        <v>204</v>
      </c>
      <c r="K167" s="23">
        <f t="shared" si="4"/>
        <v>1097</v>
      </c>
    </row>
    <row r="168" spans="1:11" ht="16.5" thickBot="1">
      <c r="A168" s="18">
        <f t="shared" si="5"/>
        <v>163</v>
      </c>
      <c r="B168" s="37" t="s">
        <v>36</v>
      </c>
      <c r="C168" s="37" t="s">
        <v>561</v>
      </c>
      <c r="D168" s="36" t="s">
        <v>557</v>
      </c>
      <c r="E168" s="38">
        <v>202</v>
      </c>
      <c r="F168" s="38">
        <v>177</v>
      </c>
      <c r="G168" s="38">
        <v>213</v>
      </c>
      <c r="H168" s="31">
        <v>159</v>
      </c>
      <c r="I168" s="38">
        <v>200</v>
      </c>
      <c r="J168" s="38">
        <v>144</v>
      </c>
      <c r="K168" s="23">
        <f t="shared" si="4"/>
        <v>1095</v>
      </c>
    </row>
    <row r="169" spans="1:11" ht="16.5" thickBot="1">
      <c r="A169" s="18">
        <f t="shared" si="5"/>
        <v>164</v>
      </c>
      <c r="B169" s="37" t="s">
        <v>567</v>
      </c>
      <c r="C169" s="37" t="s">
        <v>351</v>
      </c>
      <c r="D169" s="36" t="s">
        <v>807</v>
      </c>
      <c r="E169" s="38">
        <v>142</v>
      </c>
      <c r="F169" s="38">
        <v>195</v>
      </c>
      <c r="G169" s="38">
        <v>167</v>
      </c>
      <c r="H169" s="31">
        <v>219</v>
      </c>
      <c r="I169" s="38">
        <v>180</v>
      </c>
      <c r="J169" s="38">
        <v>192</v>
      </c>
      <c r="K169" s="23">
        <f t="shared" si="4"/>
        <v>1095</v>
      </c>
    </row>
    <row r="170" spans="1:11" ht="16.5" thickBot="1">
      <c r="A170" s="18">
        <f t="shared" si="5"/>
        <v>165</v>
      </c>
      <c r="B170" s="37" t="s">
        <v>55</v>
      </c>
      <c r="C170" s="37" t="s">
        <v>367</v>
      </c>
      <c r="D170" s="36" t="s">
        <v>363</v>
      </c>
      <c r="E170" s="38">
        <v>212</v>
      </c>
      <c r="F170" s="38">
        <v>160</v>
      </c>
      <c r="G170" s="38">
        <v>154</v>
      </c>
      <c r="H170" s="31">
        <v>176</v>
      </c>
      <c r="I170" s="38">
        <v>169</v>
      </c>
      <c r="J170" s="38">
        <v>223</v>
      </c>
      <c r="K170" s="23">
        <f t="shared" si="4"/>
        <v>1094</v>
      </c>
    </row>
    <row r="171" spans="1:11" ht="16.5" thickBot="1">
      <c r="A171" s="18">
        <f t="shared" si="5"/>
        <v>166</v>
      </c>
      <c r="B171" s="37" t="s">
        <v>322</v>
      </c>
      <c r="C171" s="37" t="s">
        <v>323</v>
      </c>
      <c r="D171" s="36" t="s">
        <v>318</v>
      </c>
      <c r="E171" s="38">
        <v>223</v>
      </c>
      <c r="F171" s="38">
        <v>200</v>
      </c>
      <c r="G171" s="38">
        <v>170</v>
      </c>
      <c r="H171" s="31">
        <v>147</v>
      </c>
      <c r="I171" s="38">
        <v>187</v>
      </c>
      <c r="J171" s="38">
        <v>166</v>
      </c>
      <c r="K171" s="23">
        <f t="shared" si="4"/>
        <v>1093</v>
      </c>
    </row>
    <row r="172" spans="1:11" ht="16.5" thickBot="1">
      <c r="A172" s="18">
        <f t="shared" si="5"/>
        <v>167</v>
      </c>
      <c r="B172" s="37" t="s">
        <v>467</v>
      </c>
      <c r="C172" s="37" t="s">
        <v>491</v>
      </c>
      <c r="D172" s="36" t="s">
        <v>490</v>
      </c>
      <c r="E172" s="38">
        <v>167</v>
      </c>
      <c r="F172" s="38">
        <v>170</v>
      </c>
      <c r="G172" s="38">
        <v>203</v>
      </c>
      <c r="H172" s="31">
        <v>175</v>
      </c>
      <c r="I172" s="38">
        <v>163</v>
      </c>
      <c r="J172" s="38">
        <v>215</v>
      </c>
      <c r="K172" s="23">
        <f t="shared" si="4"/>
        <v>1093</v>
      </c>
    </row>
    <row r="173" spans="1:11" ht="16.5" thickBot="1">
      <c r="A173" s="18">
        <f t="shared" si="5"/>
        <v>168</v>
      </c>
      <c r="B173" s="37" t="s">
        <v>47</v>
      </c>
      <c r="C173" s="37" t="s">
        <v>488</v>
      </c>
      <c r="D173" s="36" t="s">
        <v>479</v>
      </c>
      <c r="E173" s="38">
        <v>198</v>
      </c>
      <c r="F173" s="38">
        <v>144</v>
      </c>
      <c r="G173" s="38">
        <v>154</v>
      </c>
      <c r="H173" s="31">
        <v>178</v>
      </c>
      <c r="I173" s="38">
        <v>189</v>
      </c>
      <c r="J173" s="38">
        <v>227</v>
      </c>
      <c r="K173" s="23">
        <f t="shared" si="4"/>
        <v>1090</v>
      </c>
    </row>
    <row r="174" spans="1:11" ht="16.5" thickBot="1">
      <c r="A174" s="18">
        <f t="shared" si="5"/>
        <v>169</v>
      </c>
      <c r="B174" s="37" t="s">
        <v>250</v>
      </c>
      <c r="C174" s="37" t="s">
        <v>251</v>
      </c>
      <c r="D174" s="36" t="s">
        <v>247</v>
      </c>
      <c r="E174" s="38">
        <v>169</v>
      </c>
      <c r="F174" s="38"/>
      <c r="G174" s="38">
        <v>197</v>
      </c>
      <c r="H174" s="31">
        <v>237</v>
      </c>
      <c r="I174" s="38">
        <v>216</v>
      </c>
      <c r="J174" s="38">
        <v>268</v>
      </c>
      <c r="K174" s="23">
        <f t="shared" si="4"/>
        <v>1087</v>
      </c>
    </row>
    <row r="175" spans="1:11" ht="16.5" thickBot="1">
      <c r="A175" s="18">
        <f t="shared" si="5"/>
        <v>170</v>
      </c>
      <c r="B175" s="37" t="s">
        <v>424</v>
      </c>
      <c r="C175" s="37" t="s">
        <v>560</v>
      </c>
      <c r="D175" s="36" t="s">
        <v>557</v>
      </c>
      <c r="E175" s="38">
        <v>181</v>
      </c>
      <c r="F175" s="38">
        <v>165</v>
      </c>
      <c r="G175" s="38">
        <v>181</v>
      </c>
      <c r="H175" s="31">
        <v>149</v>
      </c>
      <c r="I175" s="38">
        <v>222</v>
      </c>
      <c r="J175" s="38">
        <v>189</v>
      </c>
      <c r="K175" s="23">
        <f t="shared" si="4"/>
        <v>1087</v>
      </c>
    </row>
    <row r="176" spans="1:11" ht="16.5" thickBot="1">
      <c r="A176" s="18">
        <f t="shared" si="5"/>
        <v>171</v>
      </c>
      <c r="B176" s="37" t="s">
        <v>170</v>
      </c>
      <c r="C176" s="37" t="s">
        <v>354</v>
      </c>
      <c r="D176" s="36" t="s">
        <v>353</v>
      </c>
      <c r="E176" s="38">
        <v>173</v>
      </c>
      <c r="F176" s="38">
        <v>153</v>
      </c>
      <c r="G176" s="38">
        <v>175</v>
      </c>
      <c r="H176" s="31">
        <v>170</v>
      </c>
      <c r="I176" s="38">
        <v>192</v>
      </c>
      <c r="J176" s="38">
        <v>223</v>
      </c>
      <c r="K176" s="23">
        <f t="shared" si="4"/>
        <v>1086</v>
      </c>
    </row>
    <row r="177" spans="1:11" ht="16.5" thickBot="1">
      <c r="A177" s="18">
        <f t="shared" si="5"/>
        <v>172</v>
      </c>
      <c r="B177" s="37" t="s">
        <v>496</v>
      </c>
      <c r="C177" s="37" t="s">
        <v>497</v>
      </c>
      <c r="D177" s="36" t="s">
        <v>490</v>
      </c>
      <c r="E177" s="38">
        <v>172</v>
      </c>
      <c r="F177" s="38">
        <v>180</v>
      </c>
      <c r="G177" s="38">
        <v>218</v>
      </c>
      <c r="H177" s="31">
        <v>192</v>
      </c>
      <c r="I177" s="38">
        <v>146</v>
      </c>
      <c r="J177" s="38">
        <v>177</v>
      </c>
      <c r="K177" s="23">
        <f t="shared" si="4"/>
        <v>1085</v>
      </c>
    </row>
    <row r="178" spans="1:11" ht="16.5" thickBot="1">
      <c r="A178" s="18">
        <f t="shared" si="5"/>
        <v>173</v>
      </c>
      <c r="B178" s="37" t="s">
        <v>89</v>
      </c>
      <c r="C178" s="37" t="s">
        <v>674</v>
      </c>
      <c r="D178" s="36" t="s">
        <v>665</v>
      </c>
      <c r="E178" s="38">
        <v>152</v>
      </c>
      <c r="F178" s="38">
        <v>171</v>
      </c>
      <c r="G178" s="38">
        <v>145</v>
      </c>
      <c r="H178" s="31">
        <v>221</v>
      </c>
      <c r="I178" s="38">
        <v>189</v>
      </c>
      <c r="J178" s="38">
        <v>207</v>
      </c>
      <c r="K178" s="23">
        <f t="shared" si="4"/>
        <v>1085</v>
      </c>
    </row>
    <row r="179" spans="1:11" ht="16.5" thickBot="1">
      <c r="A179" s="18">
        <f t="shared" si="5"/>
        <v>174</v>
      </c>
      <c r="B179" s="37" t="s">
        <v>258</v>
      </c>
      <c r="C179" s="37" t="s">
        <v>259</v>
      </c>
      <c r="D179" s="36" t="s">
        <v>247</v>
      </c>
      <c r="E179" s="38"/>
      <c r="F179" s="38">
        <v>199</v>
      </c>
      <c r="G179" s="38">
        <v>237</v>
      </c>
      <c r="H179" s="31">
        <v>184</v>
      </c>
      <c r="I179" s="38">
        <v>210</v>
      </c>
      <c r="J179" s="38">
        <v>254</v>
      </c>
      <c r="K179" s="23">
        <f t="shared" si="4"/>
        <v>1084</v>
      </c>
    </row>
    <row r="180" spans="1:11" ht="16.5" thickBot="1">
      <c r="A180" s="18">
        <f t="shared" si="5"/>
        <v>175</v>
      </c>
      <c r="B180" s="37" t="s">
        <v>850</v>
      </c>
      <c r="C180" s="37" t="s">
        <v>851</v>
      </c>
      <c r="D180" s="36" t="s">
        <v>848</v>
      </c>
      <c r="E180" s="38">
        <v>168</v>
      </c>
      <c r="F180" s="38">
        <v>194</v>
      </c>
      <c r="G180" s="38">
        <v>213</v>
      </c>
      <c r="H180" s="31">
        <v>186</v>
      </c>
      <c r="I180" s="38">
        <v>169</v>
      </c>
      <c r="J180" s="38">
        <v>151</v>
      </c>
      <c r="K180" s="23">
        <f t="shared" si="4"/>
        <v>1081</v>
      </c>
    </row>
    <row r="181" spans="1:11" ht="16.5" thickBot="1">
      <c r="A181" s="18">
        <f t="shared" si="5"/>
        <v>176</v>
      </c>
      <c r="B181" s="37" t="s">
        <v>59</v>
      </c>
      <c r="C181" s="37" t="s">
        <v>882</v>
      </c>
      <c r="D181" s="36" t="s">
        <v>875</v>
      </c>
      <c r="E181" s="38">
        <v>193</v>
      </c>
      <c r="F181" s="38">
        <v>196</v>
      </c>
      <c r="G181" s="38">
        <v>178</v>
      </c>
      <c r="H181" s="31">
        <v>205</v>
      </c>
      <c r="I181" s="38">
        <v>158</v>
      </c>
      <c r="J181" s="38">
        <v>151</v>
      </c>
      <c r="K181" s="23">
        <f t="shared" si="4"/>
        <v>1081</v>
      </c>
    </row>
    <row r="182" spans="1:11" ht="16.5" thickBot="1">
      <c r="A182" s="18">
        <f t="shared" si="5"/>
        <v>177</v>
      </c>
      <c r="B182" s="37" t="s">
        <v>89</v>
      </c>
      <c r="C182" s="37" t="s">
        <v>90</v>
      </c>
      <c r="D182" s="36" t="s">
        <v>84</v>
      </c>
      <c r="E182" s="38">
        <v>166</v>
      </c>
      <c r="F182" s="38">
        <v>175</v>
      </c>
      <c r="G182" s="38">
        <v>193</v>
      </c>
      <c r="H182" s="31">
        <v>165</v>
      </c>
      <c r="I182" s="38">
        <v>208</v>
      </c>
      <c r="J182" s="38">
        <v>173</v>
      </c>
      <c r="K182" s="23">
        <f t="shared" si="4"/>
        <v>1080</v>
      </c>
    </row>
    <row r="183" spans="1:11" ht="16.5" thickBot="1">
      <c r="A183" s="18">
        <f t="shared" si="5"/>
        <v>178</v>
      </c>
      <c r="B183" s="37" t="s">
        <v>99</v>
      </c>
      <c r="C183" s="37" t="s">
        <v>263</v>
      </c>
      <c r="D183" s="36" t="s">
        <v>262</v>
      </c>
      <c r="E183" s="38">
        <v>169</v>
      </c>
      <c r="F183" s="38">
        <v>169</v>
      </c>
      <c r="G183" s="38">
        <v>191</v>
      </c>
      <c r="H183" s="31">
        <v>167</v>
      </c>
      <c r="I183" s="38">
        <v>224</v>
      </c>
      <c r="J183" s="38">
        <v>159</v>
      </c>
      <c r="K183" s="23">
        <f t="shared" si="4"/>
        <v>1079</v>
      </c>
    </row>
    <row r="184" spans="1:11" ht="16.5" thickBot="1">
      <c r="A184" s="18">
        <f t="shared" si="5"/>
        <v>179</v>
      </c>
      <c r="B184" s="37" t="s">
        <v>406</v>
      </c>
      <c r="C184" s="37" t="s">
        <v>407</v>
      </c>
      <c r="D184" s="36" t="s">
        <v>402</v>
      </c>
      <c r="E184" s="38">
        <v>173</v>
      </c>
      <c r="F184" s="38">
        <v>170</v>
      </c>
      <c r="G184" s="38">
        <v>191</v>
      </c>
      <c r="H184" s="31">
        <v>164</v>
      </c>
      <c r="I184" s="38">
        <v>188</v>
      </c>
      <c r="J184" s="38">
        <v>192</v>
      </c>
      <c r="K184" s="23">
        <f t="shared" si="4"/>
        <v>1078</v>
      </c>
    </row>
    <row r="185" spans="1:11" ht="16.5" thickBot="1">
      <c r="A185" s="18">
        <f t="shared" si="5"/>
        <v>180</v>
      </c>
      <c r="B185" s="37" t="s">
        <v>313</v>
      </c>
      <c r="C185" s="37" t="s">
        <v>845</v>
      </c>
      <c r="D185" s="36" t="s">
        <v>790</v>
      </c>
      <c r="E185" s="38">
        <v>184</v>
      </c>
      <c r="F185" s="38">
        <v>163</v>
      </c>
      <c r="G185" s="38">
        <v>175</v>
      </c>
      <c r="H185" s="31">
        <v>190</v>
      </c>
      <c r="I185" s="38">
        <v>182</v>
      </c>
      <c r="J185" s="38">
        <v>183</v>
      </c>
      <c r="K185" s="23">
        <f t="shared" si="4"/>
        <v>1077</v>
      </c>
    </row>
    <row r="186" spans="1:11" ht="16.5" thickBot="1">
      <c r="A186" s="18">
        <f t="shared" si="5"/>
        <v>181</v>
      </c>
      <c r="B186" s="37" t="s">
        <v>450</v>
      </c>
      <c r="C186" s="37" t="s">
        <v>635</v>
      </c>
      <c r="D186" s="36" t="s">
        <v>626</v>
      </c>
      <c r="E186" s="38">
        <v>163</v>
      </c>
      <c r="F186" s="38">
        <v>199</v>
      </c>
      <c r="G186" s="38">
        <v>139</v>
      </c>
      <c r="H186" s="31">
        <v>193</v>
      </c>
      <c r="I186" s="38">
        <v>171</v>
      </c>
      <c r="J186" s="38">
        <v>210</v>
      </c>
      <c r="K186" s="23">
        <f t="shared" si="4"/>
        <v>1075</v>
      </c>
    </row>
    <row r="187" spans="1:11" ht="16.5" thickBot="1">
      <c r="A187" s="18">
        <f t="shared" si="5"/>
        <v>182</v>
      </c>
      <c r="B187" s="37" t="s">
        <v>111</v>
      </c>
      <c r="C187" s="37" t="s">
        <v>764</v>
      </c>
      <c r="D187" s="36" t="s">
        <v>763</v>
      </c>
      <c r="E187" s="38">
        <v>179</v>
      </c>
      <c r="F187" s="38">
        <v>179</v>
      </c>
      <c r="G187" s="38">
        <v>169</v>
      </c>
      <c r="H187" s="31">
        <v>197</v>
      </c>
      <c r="I187" s="38">
        <v>176</v>
      </c>
      <c r="J187" s="38">
        <v>175</v>
      </c>
      <c r="K187" s="23">
        <f t="shared" si="4"/>
        <v>1075</v>
      </c>
    </row>
    <row r="188" spans="1:11" ht="16.5" thickBot="1">
      <c r="A188" s="18">
        <f t="shared" si="5"/>
        <v>183</v>
      </c>
      <c r="B188" s="37" t="s">
        <v>206</v>
      </c>
      <c r="C188" s="37" t="s">
        <v>792</v>
      </c>
      <c r="D188" s="36" t="s">
        <v>789</v>
      </c>
      <c r="E188" s="38">
        <v>205</v>
      </c>
      <c r="F188" s="38">
        <v>184</v>
      </c>
      <c r="G188" s="38">
        <v>224</v>
      </c>
      <c r="H188" s="31">
        <v>151</v>
      </c>
      <c r="I188" s="38">
        <v>152</v>
      </c>
      <c r="J188" s="38">
        <v>159</v>
      </c>
      <c r="K188" s="23">
        <f t="shared" si="4"/>
        <v>1075</v>
      </c>
    </row>
    <row r="189" spans="1:11" ht="16.5" thickBot="1">
      <c r="A189" s="18">
        <f t="shared" si="5"/>
        <v>184</v>
      </c>
      <c r="B189" s="37" t="s">
        <v>116</v>
      </c>
      <c r="C189" s="37" t="s">
        <v>744</v>
      </c>
      <c r="D189" s="36" t="s">
        <v>741</v>
      </c>
      <c r="E189" s="38">
        <v>172</v>
      </c>
      <c r="F189" s="38">
        <v>211</v>
      </c>
      <c r="G189" s="38">
        <v>172</v>
      </c>
      <c r="H189" s="31">
        <v>180</v>
      </c>
      <c r="I189" s="38">
        <v>171</v>
      </c>
      <c r="J189" s="38">
        <v>168</v>
      </c>
      <c r="K189" s="23">
        <f t="shared" si="4"/>
        <v>1074</v>
      </c>
    </row>
    <row r="190" spans="1:11" ht="16.5" thickBot="1">
      <c r="A190" s="18">
        <f t="shared" si="5"/>
        <v>185</v>
      </c>
      <c r="B190" s="37" t="s">
        <v>614</v>
      </c>
      <c r="C190" s="37" t="s">
        <v>238</v>
      </c>
      <c r="D190" s="36" t="s">
        <v>607</v>
      </c>
      <c r="E190" s="38">
        <v>207</v>
      </c>
      <c r="F190" s="38">
        <v>169</v>
      </c>
      <c r="G190" s="38">
        <v>202</v>
      </c>
      <c r="H190" s="31">
        <v>130</v>
      </c>
      <c r="I190" s="38">
        <v>195</v>
      </c>
      <c r="J190" s="38">
        <v>170</v>
      </c>
      <c r="K190" s="23">
        <f t="shared" si="4"/>
        <v>1073</v>
      </c>
    </row>
    <row r="191" spans="1:11" ht="16.5" thickBot="1">
      <c r="A191" s="18">
        <f t="shared" si="5"/>
        <v>186</v>
      </c>
      <c r="B191" s="37" t="s">
        <v>75</v>
      </c>
      <c r="C191" s="37" t="s">
        <v>296</v>
      </c>
      <c r="D191" s="36" t="s">
        <v>295</v>
      </c>
      <c r="E191" s="38">
        <v>142</v>
      </c>
      <c r="F191" s="38">
        <v>190</v>
      </c>
      <c r="G191" s="38">
        <v>172</v>
      </c>
      <c r="H191" s="31">
        <v>188</v>
      </c>
      <c r="I191" s="38">
        <v>177</v>
      </c>
      <c r="J191" s="38">
        <v>203</v>
      </c>
      <c r="K191" s="23">
        <f t="shared" si="4"/>
        <v>1072</v>
      </c>
    </row>
    <row r="192" spans="1:11" ht="16.5" thickBot="1">
      <c r="A192" s="18">
        <f t="shared" si="5"/>
        <v>187</v>
      </c>
      <c r="B192" s="37" t="s">
        <v>305</v>
      </c>
      <c r="C192" s="37" t="s">
        <v>306</v>
      </c>
      <c r="D192" s="36" t="s">
        <v>304</v>
      </c>
      <c r="E192" s="38"/>
      <c r="F192" s="38">
        <v>212</v>
      </c>
      <c r="G192" s="38">
        <v>202</v>
      </c>
      <c r="H192" s="31">
        <v>237</v>
      </c>
      <c r="I192" s="38">
        <v>190</v>
      </c>
      <c r="J192" s="38">
        <v>228</v>
      </c>
      <c r="K192" s="23">
        <f t="shared" si="4"/>
        <v>1069</v>
      </c>
    </row>
    <row r="193" spans="1:11" ht="16.5" thickBot="1">
      <c r="A193" s="18">
        <f t="shared" si="5"/>
        <v>188</v>
      </c>
      <c r="B193" s="37" t="s">
        <v>23</v>
      </c>
      <c r="C193" s="37" t="s">
        <v>278</v>
      </c>
      <c r="D193" s="36" t="s">
        <v>271</v>
      </c>
      <c r="E193" s="38">
        <v>193</v>
      </c>
      <c r="F193" s="38">
        <v>192</v>
      </c>
      <c r="G193" s="38">
        <v>159</v>
      </c>
      <c r="H193" s="31">
        <v>178</v>
      </c>
      <c r="I193" s="38">
        <v>148</v>
      </c>
      <c r="J193" s="38">
        <v>198</v>
      </c>
      <c r="K193" s="23">
        <f t="shared" si="4"/>
        <v>1068</v>
      </c>
    </row>
    <row r="194" spans="1:11" ht="16.5" thickBot="1">
      <c r="A194" s="18">
        <f t="shared" si="5"/>
        <v>189</v>
      </c>
      <c r="B194" s="37" t="s">
        <v>108</v>
      </c>
      <c r="C194" s="37" t="s">
        <v>109</v>
      </c>
      <c r="D194" s="36" t="s">
        <v>98</v>
      </c>
      <c r="E194" s="38">
        <v>219</v>
      </c>
      <c r="F194" s="38">
        <v>188</v>
      </c>
      <c r="G194" s="38">
        <v>156</v>
      </c>
      <c r="H194" s="31">
        <v>188</v>
      </c>
      <c r="I194" s="38">
        <v>137</v>
      </c>
      <c r="J194" s="38">
        <v>179</v>
      </c>
      <c r="K194" s="23">
        <f t="shared" si="4"/>
        <v>1067</v>
      </c>
    </row>
    <row r="195" spans="1:11" ht="16.5" thickBot="1">
      <c r="A195" s="18">
        <f t="shared" si="5"/>
        <v>190</v>
      </c>
      <c r="B195" s="37" t="s">
        <v>344</v>
      </c>
      <c r="C195" s="37" t="s">
        <v>345</v>
      </c>
      <c r="D195" s="36" t="s">
        <v>342</v>
      </c>
      <c r="E195" s="38"/>
      <c r="F195" s="38">
        <v>225</v>
      </c>
      <c r="G195" s="38">
        <v>200</v>
      </c>
      <c r="H195" s="31">
        <v>218</v>
      </c>
      <c r="I195" s="38">
        <v>177</v>
      </c>
      <c r="J195" s="38">
        <v>245</v>
      </c>
      <c r="K195" s="23">
        <f t="shared" si="4"/>
        <v>1065</v>
      </c>
    </row>
    <row r="196" spans="1:11" ht="16.5" thickBot="1">
      <c r="A196" s="18">
        <f t="shared" si="5"/>
        <v>191</v>
      </c>
      <c r="B196" s="37" t="s">
        <v>111</v>
      </c>
      <c r="C196" s="37" t="s">
        <v>816</v>
      </c>
      <c r="D196" s="36" t="s">
        <v>807</v>
      </c>
      <c r="E196" s="38">
        <v>145</v>
      </c>
      <c r="F196" s="38">
        <v>203</v>
      </c>
      <c r="G196" s="38">
        <v>205</v>
      </c>
      <c r="H196" s="31">
        <v>170</v>
      </c>
      <c r="I196" s="38">
        <v>166</v>
      </c>
      <c r="J196" s="38">
        <v>176</v>
      </c>
      <c r="K196" s="23">
        <f t="shared" si="4"/>
        <v>1065</v>
      </c>
    </row>
    <row r="197" spans="1:11" ht="16.5" thickBot="1">
      <c r="A197" s="18">
        <f t="shared" si="5"/>
        <v>192</v>
      </c>
      <c r="B197" s="37" t="s">
        <v>170</v>
      </c>
      <c r="C197" s="37" t="s">
        <v>502</v>
      </c>
      <c r="D197" s="36" t="s">
        <v>501</v>
      </c>
      <c r="E197" s="38"/>
      <c r="F197" s="38">
        <v>219</v>
      </c>
      <c r="G197" s="38">
        <v>190</v>
      </c>
      <c r="H197" s="31">
        <v>180</v>
      </c>
      <c r="I197" s="38">
        <v>246</v>
      </c>
      <c r="J197" s="38">
        <v>229</v>
      </c>
      <c r="K197" s="23">
        <f t="shared" si="4"/>
        <v>1064</v>
      </c>
    </row>
    <row r="198" spans="1:11" ht="16.5" thickBot="1">
      <c r="A198" s="18">
        <f t="shared" si="5"/>
        <v>193</v>
      </c>
      <c r="B198" s="37" t="s">
        <v>36</v>
      </c>
      <c r="C198" s="37" t="s">
        <v>179</v>
      </c>
      <c r="D198" s="36" t="s">
        <v>167</v>
      </c>
      <c r="E198" s="38">
        <v>170</v>
      </c>
      <c r="F198" s="38">
        <v>181</v>
      </c>
      <c r="G198" s="38">
        <v>179</v>
      </c>
      <c r="H198" s="31">
        <v>138</v>
      </c>
      <c r="I198" s="38">
        <v>215</v>
      </c>
      <c r="J198" s="38">
        <v>180</v>
      </c>
      <c r="K198" s="23">
        <f t="shared" ref="K198:K261" si="6">SUM(E198:J198)</f>
        <v>1063</v>
      </c>
    </row>
    <row r="199" spans="1:11" ht="16.5" thickBot="1">
      <c r="A199" s="18">
        <f t="shared" si="5"/>
        <v>194</v>
      </c>
      <c r="B199" s="37" t="s">
        <v>191</v>
      </c>
      <c r="C199" s="37" t="s">
        <v>192</v>
      </c>
      <c r="D199" s="36" t="s">
        <v>190</v>
      </c>
      <c r="E199" s="38">
        <v>180</v>
      </c>
      <c r="F199" s="38">
        <v>183</v>
      </c>
      <c r="G199" s="38">
        <v>197</v>
      </c>
      <c r="H199" s="31">
        <v>157</v>
      </c>
      <c r="I199" s="38">
        <v>186</v>
      </c>
      <c r="J199" s="38">
        <v>157</v>
      </c>
      <c r="K199" s="23">
        <f t="shared" si="6"/>
        <v>1060</v>
      </c>
    </row>
    <row r="200" spans="1:11" ht="16.5" thickBot="1">
      <c r="A200" s="18">
        <f t="shared" ref="A200:A263" si="7">A199+1</f>
        <v>195</v>
      </c>
      <c r="B200" s="37" t="s">
        <v>385</v>
      </c>
      <c r="C200" s="37" t="s">
        <v>706</v>
      </c>
      <c r="D200" s="36" t="s">
        <v>703</v>
      </c>
      <c r="E200" s="38">
        <v>192</v>
      </c>
      <c r="F200" s="38">
        <v>184</v>
      </c>
      <c r="G200" s="38">
        <v>157</v>
      </c>
      <c r="H200" s="31">
        <v>156</v>
      </c>
      <c r="I200" s="38">
        <v>158</v>
      </c>
      <c r="J200" s="38">
        <v>212</v>
      </c>
      <c r="K200" s="23">
        <f t="shared" si="6"/>
        <v>1059</v>
      </c>
    </row>
    <row r="201" spans="1:11" ht="16.5" thickBot="1">
      <c r="A201" s="18">
        <f t="shared" si="7"/>
        <v>196</v>
      </c>
      <c r="B201" s="37" t="s">
        <v>545</v>
      </c>
      <c r="C201" s="37" t="s">
        <v>546</v>
      </c>
      <c r="D201" s="36" t="s">
        <v>536</v>
      </c>
      <c r="E201" s="38">
        <v>169</v>
      </c>
      <c r="F201" s="38">
        <v>186</v>
      </c>
      <c r="G201" s="38">
        <v>167</v>
      </c>
      <c r="H201" s="31">
        <v>191</v>
      </c>
      <c r="I201" s="38">
        <v>143</v>
      </c>
      <c r="J201" s="38">
        <v>202</v>
      </c>
      <c r="K201" s="23">
        <f t="shared" si="6"/>
        <v>1058</v>
      </c>
    </row>
    <row r="202" spans="1:11" ht="16.5" thickBot="1">
      <c r="A202" s="18">
        <f t="shared" si="7"/>
        <v>197</v>
      </c>
      <c r="B202" s="37" t="s">
        <v>86</v>
      </c>
      <c r="C202" s="37" t="s">
        <v>775</v>
      </c>
      <c r="D202" s="36" t="s">
        <v>772</v>
      </c>
      <c r="E202" s="38">
        <v>160</v>
      </c>
      <c r="F202" s="38">
        <v>169</v>
      </c>
      <c r="G202" s="38">
        <v>187</v>
      </c>
      <c r="H202" s="31">
        <v>190</v>
      </c>
      <c r="I202" s="38">
        <v>176</v>
      </c>
      <c r="J202" s="38">
        <v>176</v>
      </c>
      <c r="K202" s="23">
        <f t="shared" si="6"/>
        <v>1058</v>
      </c>
    </row>
    <row r="203" spans="1:11" ht="16.5" thickBot="1">
      <c r="A203" s="18">
        <f t="shared" si="7"/>
        <v>198</v>
      </c>
      <c r="B203" s="37" t="s">
        <v>320</v>
      </c>
      <c r="C203" s="37" t="s">
        <v>321</v>
      </c>
      <c r="D203" s="36" t="s">
        <v>318</v>
      </c>
      <c r="E203" s="38">
        <v>191</v>
      </c>
      <c r="F203" s="38">
        <v>156</v>
      </c>
      <c r="G203" s="38">
        <v>201</v>
      </c>
      <c r="H203" s="31">
        <v>137</v>
      </c>
      <c r="I203" s="38">
        <v>189</v>
      </c>
      <c r="J203" s="38">
        <v>180</v>
      </c>
      <c r="K203" s="23">
        <f t="shared" si="6"/>
        <v>1054</v>
      </c>
    </row>
    <row r="204" spans="1:11" ht="16.5" thickBot="1">
      <c r="A204" s="18">
        <f t="shared" si="7"/>
        <v>199</v>
      </c>
      <c r="B204" s="37" t="s">
        <v>424</v>
      </c>
      <c r="C204" s="37" t="s">
        <v>804</v>
      </c>
      <c r="D204" s="36" t="s">
        <v>799</v>
      </c>
      <c r="E204" s="38"/>
      <c r="F204" s="38">
        <v>216</v>
      </c>
      <c r="G204" s="38">
        <v>199</v>
      </c>
      <c r="H204" s="31">
        <v>212</v>
      </c>
      <c r="I204" s="38">
        <v>222</v>
      </c>
      <c r="J204" s="38">
        <v>200</v>
      </c>
      <c r="K204" s="23">
        <f t="shared" si="6"/>
        <v>1049</v>
      </c>
    </row>
    <row r="205" spans="1:11" ht="16.5" thickBot="1">
      <c r="A205" s="18">
        <f t="shared" si="7"/>
        <v>200</v>
      </c>
      <c r="B205" s="37" t="s">
        <v>297</v>
      </c>
      <c r="C205" s="37" t="s">
        <v>298</v>
      </c>
      <c r="D205" s="36" t="s">
        <v>295</v>
      </c>
      <c r="E205" s="38">
        <v>173</v>
      </c>
      <c r="F205" s="38">
        <v>197</v>
      </c>
      <c r="G205" s="38">
        <v>181</v>
      </c>
      <c r="H205" s="31">
        <v>148</v>
      </c>
      <c r="I205" s="38">
        <v>191</v>
      </c>
      <c r="J205" s="38">
        <v>157</v>
      </c>
      <c r="K205" s="23">
        <f t="shared" si="6"/>
        <v>1047</v>
      </c>
    </row>
    <row r="206" spans="1:11" ht="16.5" thickBot="1">
      <c r="A206" s="18">
        <f t="shared" si="7"/>
        <v>201</v>
      </c>
      <c r="B206" s="37" t="s">
        <v>842</v>
      </c>
      <c r="C206" s="37" t="s">
        <v>843</v>
      </c>
      <c r="D206" s="36" t="s">
        <v>790</v>
      </c>
      <c r="E206" s="38">
        <v>206</v>
      </c>
      <c r="F206" s="38">
        <v>144</v>
      </c>
      <c r="G206" s="38">
        <v>193</v>
      </c>
      <c r="H206" s="31">
        <v>169</v>
      </c>
      <c r="I206" s="38">
        <v>151</v>
      </c>
      <c r="J206" s="38">
        <v>183</v>
      </c>
      <c r="K206" s="23">
        <f t="shared" si="6"/>
        <v>1046</v>
      </c>
    </row>
    <row r="207" spans="1:11" ht="16.5" thickBot="1">
      <c r="A207" s="18">
        <f t="shared" si="7"/>
        <v>202</v>
      </c>
      <c r="B207" s="37" t="s">
        <v>567</v>
      </c>
      <c r="C207" s="37" t="s">
        <v>597</v>
      </c>
      <c r="D207" s="36" t="s">
        <v>594</v>
      </c>
      <c r="E207" s="38">
        <v>167</v>
      </c>
      <c r="F207" s="38">
        <v>151</v>
      </c>
      <c r="G207" s="38">
        <v>192</v>
      </c>
      <c r="H207" s="31">
        <v>195</v>
      </c>
      <c r="I207" s="38">
        <v>171</v>
      </c>
      <c r="J207" s="38">
        <v>169</v>
      </c>
      <c r="K207" s="23">
        <f t="shared" si="6"/>
        <v>1045</v>
      </c>
    </row>
    <row r="208" spans="1:11" ht="16.5" thickBot="1">
      <c r="A208" s="18">
        <f t="shared" si="7"/>
        <v>203</v>
      </c>
      <c r="B208" s="37" t="s">
        <v>111</v>
      </c>
      <c r="C208" s="37" t="s">
        <v>653</v>
      </c>
      <c r="D208" s="36" t="s">
        <v>643</v>
      </c>
      <c r="E208" s="38">
        <v>166</v>
      </c>
      <c r="F208" s="38">
        <v>193</v>
      </c>
      <c r="G208" s="38">
        <v>186</v>
      </c>
      <c r="H208" s="31">
        <v>199</v>
      </c>
      <c r="I208" s="38">
        <v>143</v>
      </c>
      <c r="J208" s="38">
        <v>158</v>
      </c>
      <c r="K208" s="23">
        <f t="shared" si="6"/>
        <v>1045</v>
      </c>
    </row>
    <row r="209" spans="1:11" ht="16.5" thickBot="1">
      <c r="A209" s="18">
        <f t="shared" si="7"/>
        <v>204</v>
      </c>
      <c r="B209" s="37" t="s">
        <v>23</v>
      </c>
      <c r="C209" s="37" t="s">
        <v>290</v>
      </c>
      <c r="D209" s="36" t="s">
        <v>703</v>
      </c>
      <c r="E209" s="38">
        <v>158</v>
      </c>
      <c r="F209" s="38">
        <v>193</v>
      </c>
      <c r="G209" s="38">
        <v>168</v>
      </c>
      <c r="H209" s="31">
        <v>153</v>
      </c>
      <c r="I209" s="38">
        <v>163</v>
      </c>
      <c r="J209" s="38">
        <v>210</v>
      </c>
      <c r="K209" s="23">
        <f t="shared" si="6"/>
        <v>1045</v>
      </c>
    </row>
    <row r="210" spans="1:11" ht="16.5" thickBot="1">
      <c r="A210" s="18">
        <f t="shared" si="7"/>
        <v>205</v>
      </c>
      <c r="B210" s="37" t="s">
        <v>72</v>
      </c>
      <c r="C210" s="37" t="s">
        <v>279</v>
      </c>
      <c r="D210" s="36" t="s">
        <v>271</v>
      </c>
      <c r="E210" s="38">
        <v>164</v>
      </c>
      <c r="F210" s="38">
        <v>205</v>
      </c>
      <c r="G210" s="38">
        <v>150</v>
      </c>
      <c r="H210" s="31">
        <v>183</v>
      </c>
      <c r="I210" s="38">
        <v>152</v>
      </c>
      <c r="J210" s="38">
        <v>190</v>
      </c>
      <c r="K210" s="23">
        <f t="shared" si="6"/>
        <v>1044</v>
      </c>
    </row>
    <row r="211" spans="1:11" ht="16.5" thickBot="1">
      <c r="A211" s="18">
        <f t="shared" si="7"/>
        <v>206</v>
      </c>
      <c r="B211" s="37" t="s">
        <v>467</v>
      </c>
      <c r="C211" s="37" t="s">
        <v>537</v>
      </c>
      <c r="D211" s="36" t="s">
        <v>536</v>
      </c>
      <c r="E211" s="38">
        <v>205</v>
      </c>
      <c r="F211" s="38">
        <v>170</v>
      </c>
      <c r="G211" s="38">
        <v>188</v>
      </c>
      <c r="H211" s="31">
        <v>198</v>
      </c>
      <c r="I211" s="38">
        <v>162</v>
      </c>
      <c r="J211" s="38">
        <v>119</v>
      </c>
      <c r="K211" s="23">
        <f t="shared" si="6"/>
        <v>1042</v>
      </c>
    </row>
    <row r="212" spans="1:11" ht="16.5" thickBot="1">
      <c r="A212" s="18">
        <f t="shared" si="7"/>
        <v>207</v>
      </c>
      <c r="B212" s="37" t="s">
        <v>170</v>
      </c>
      <c r="C212" s="37" t="s">
        <v>364</v>
      </c>
      <c r="D212" s="36" t="s">
        <v>363</v>
      </c>
      <c r="E212" s="38">
        <v>126</v>
      </c>
      <c r="F212" s="38">
        <v>142</v>
      </c>
      <c r="G212" s="38">
        <v>171</v>
      </c>
      <c r="H212" s="31">
        <v>168</v>
      </c>
      <c r="I212" s="38">
        <v>211</v>
      </c>
      <c r="J212" s="38">
        <v>223</v>
      </c>
      <c r="K212" s="23">
        <f t="shared" si="6"/>
        <v>1041</v>
      </c>
    </row>
    <row r="213" spans="1:11" ht="16.5" thickBot="1">
      <c r="A213" s="18">
        <f t="shared" si="7"/>
        <v>208</v>
      </c>
      <c r="B213" s="37" t="s">
        <v>89</v>
      </c>
      <c r="C213" s="37" t="s">
        <v>534</v>
      </c>
      <c r="D213" s="36" t="s">
        <v>526</v>
      </c>
      <c r="E213" s="38">
        <v>135</v>
      </c>
      <c r="F213" s="38">
        <v>173</v>
      </c>
      <c r="G213" s="38">
        <v>166</v>
      </c>
      <c r="H213" s="31">
        <v>214</v>
      </c>
      <c r="I213" s="38">
        <v>189</v>
      </c>
      <c r="J213" s="38">
        <v>162</v>
      </c>
      <c r="K213" s="23">
        <f t="shared" si="6"/>
        <v>1039</v>
      </c>
    </row>
    <row r="214" spans="1:11" ht="16.5" thickBot="1">
      <c r="A214" s="18">
        <f t="shared" si="7"/>
        <v>209</v>
      </c>
      <c r="B214" s="37" t="s">
        <v>19</v>
      </c>
      <c r="C214" s="37" t="s">
        <v>20</v>
      </c>
      <c r="D214" s="36" t="s">
        <v>13</v>
      </c>
      <c r="E214" s="38">
        <v>179</v>
      </c>
      <c r="F214" s="38">
        <v>162</v>
      </c>
      <c r="G214" s="38">
        <v>151</v>
      </c>
      <c r="H214" s="31">
        <v>137</v>
      </c>
      <c r="I214" s="38">
        <v>183</v>
      </c>
      <c r="J214" s="38">
        <v>226</v>
      </c>
      <c r="K214" s="23">
        <f t="shared" si="6"/>
        <v>1038</v>
      </c>
    </row>
    <row r="215" spans="1:11" ht="16.5" thickBot="1">
      <c r="A215" s="18">
        <f t="shared" si="7"/>
        <v>210</v>
      </c>
      <c r="B215" s="37" t="s">
        <v>645</v>
      </c>
      <c r="C215" s="37" t="s">
        <v>688</v>
      </c>
      <c r="D215" s="36" t="s">
        <v>686</v>
      </c>
      <c r="E215" s="38">
        <v>173</v>
      </c>
      <c r="F215" s="38">
        <v>166</v>
      </c>
      <c r="G215" s="38">
        <v>175</v>
      </c>
      <c r="H215" s="31">
        <v>181</v>
      </c>
      <c r="I215" s="38">
        <v>203</v>
      </c>
      <c r="J215" s="38">
        <v>140</v>
      </c>
      <c r="K215" s="23">
        <f t="shared" si="6"/>
        <v>1038</v>
      </c>
    </row>
    <row r="216" spans="1:11" ht="16.5" thickBot="1">
      <c r="A216" s="18">
        <f t="shared" si="7"/>
        <v>211</v>
      </c>
      <c r="B216" s="37" t="s">
        <v>782</v>
      </c>
      <c r="C216" s="37" t="s">
        <v>783</v>
      </c>
      <c r="D216" s="36" t="s">
        <v>781</v>
      </c>
      <c r="E216" s="38">
        <v>146</v>
      </c>
      <c r="F216" s="38">
        <v>210</v>
      </c>
      <c r="G216" s="38">
        <v>168</v>
      </c>
      <c r="H216" s="31">
        <v>151</v>
      </c>
      <c r="I216" s="38">
        <v>189</v>
      </c>
      <c r="J216" s="38">
        <v>171</v>
      </c>
      <c r="K216" s="23">
        <f t="shared" si="6"/>
        <v>1035</v>
      </c>
    </row>
    <row r="217" spans="1:11" ht="16.5" thickBot="1">
      <c r="A217" s="18">
        <f t="shared" si="7"/>
        <v>212</v>
      </c>
      <c r="B217" s="37" t="s">
        <v>72</v>
      </c>
      <c r="C217" s="37" t="s">
        <v>280</v>
      </c>
      <c r="D217" s="36" t="s">
        <v>271</v>
      </c>
      <c r="E217" s="38">
        <v>170</v>
      </c>
      <c r="F217" s="38">
        <v>133</v>
      </c>
      <c r="G217" s="38">
        <v>150</v>
      </c>
      <c r="H217" s="31">
        <v>194</v>
      </c>
      <c r="I217" s="38">
        <v>213</v>
      </c>
      <c r="J217" s="38">
        <v>173</v>
      </c>
      <c r="K217" s="23">
        <f t="shared" si="6"/>
        <v>1033</v>
      </c>
    </row>
    <row r="218" spans="1:11" ht="16.5" thickBot="1">
      <c r="A218" s="18">
        <f t="shared" si="7"/>
        <v>213</v>
      </c>
      <c r="B218" s="37" t="s">
        <v>797</v>
      </c>
      <c r="C218" s="37" t="s">
        <v>798</v>
      </c>
      <c r="D218" s="36" t="s">
        <v>789</v>
      </c>
      <c r="E218" s="38">
        <v>149</v>
      </c>
      <c r="F218" s="38">
        <v>176</v>
      </c>
      <c r="G218" s="38">
        <v>152</v>
      </c>
      <c r="H218" s="31">
        <v>182</v>
      </c>
      <c r="I218" s="38">
        <v>180</v>
      </c>
      <c r="J218" s="38">
        <v>192</v>
      </c>
      <c r="K218" s="23">
        <f t="shared" si="6"/>
        <v>1031</v>
      </c>
    </row>
    <row r="219" spans="1:11" ht="16.5" thickBot="1">
      <c r="A219" s="18">
        <f t="shared" si="7"/>
        <v>214</v>
      </c>
      <c r="B219" s="37" t="s">
        <v>821</v>
      </c>
      <c r="C219" s="37" t="s">
        <v>822</v>
      </c>
      <c r="D219" s="36" t="s">
        <v>817</v>
      </c>
      <c r="E219" s="38">
        <v>140</v>
      </c>
      <c r="F219" s="38"/>
      <c r="G219" s="38">
        <v>209</v>
      </c>
      <c r="H219" s="31">
        <v>245</v>
      </c>
      <c r="I219" s="38">
        <v>192</v>
      </c>
      <c r="J219" s="38">
        <v>245</v>
      </c>
      <c r="K219" s="23">
        <f t="shared" si="6"/>
        <v>1031</v>
      </c>
    </row>
    <row r="220" spans="1:11" ht="16.5" thickBot="1">
      <c r="A220" s="18">
        <f t="shared" si="7"/>
        <v>215</v>
      </c>
      <c r="B220" s="37" t="s">
        <v>250</v>
      </c>
      <c r="C220" s="37" t="s">
        <v>867</v>
      </c>
      <c r="D220" s="36" t="s">
        <v>865</v>
      </c>
      <c r="E220" s="38">
        <v>189</v>
      </c>
      <c r="F220" s="38">
        <v>150</v>
      </c>
      <c r="G220" s="38">
        <v>147</v>
      </c>
      <c r="H220" s="31">
        <v>181</v>
      </c>
      <c r="I220" s="38">
        <v>189</v>
      </c>
      <c r="J220" s="38">
        <v>172</v>
      </c>
      <c r="K220" s="23">
        <f t="shared" si="6"/>
        <v>1028</v>
      </c>
    </row>
    <row r="221" spans="1:11" ht="16.5" thickBot="1">
      <c r="A221" s="18">
        <f t="shared" si="7"/>
        <v>216</v>
      </c>
      <c r="B221" s="37" t="s">
        <v>92</v>
      </c>
      <c r="C221" s="37" t="s">
        <v>642</v>
      </c>
      <c r="D221" s="36" t="s">
        <v>636</v>
      </c>
      <c r="E221" s="38">
        <v>165</v>
      </c>
      <c r="F221" s="38">
        <v>165</v>
      </c>
      <c r="G221" s="38">
        <v>187</v>
      </c>
      <c r="H221" s="31">
        <v>146</v>
      </c>
      <c r="I221" s="38">
        <v>176</v>
      </c>
      <c r="J221" s="38">
        <v>187</v>
      </c>
      <c r="K221" s="23">
        <f t="shared" si="6"/>
        <v>1026</v>
      </c>
    </row>
    <row r="222" spans="1:11" ht="16.5" thickBot="1">
      <c r="A222" s="18">
        <f t="shared" si="7"/>
        <v>217</v>
      </c>
      <c r="B222" s="37" t="s">
        <v>28</v>
      </c>
      <c r="C222" s="37" t="s">
        <v>177</v>
      </c>
      <c r="D222" s="36" t="s">
        <v>167</v>
      </c>
      <c r="E222" s="38"/>
      <c r="F222" s="38">
        <v>181</v>
      </c>
      <c r="G222" s="38">
        <v>160</v>
      </c>
      <c r="H222" s="31">
        <v>211</v>
      </c>
      <c r="I222" s="38">
        <v>257</v>
      </c>
      <c r="J222" s="38">
        <v>215</v>
      </c>
      <c r="K222" s="23">
        <f t="shared" si="6"/>
        <v>1024</v>
      </c>
    </row>
    <row r="223" spans="1:11" ht="16.5" thickBot="1">
      <c r="A223" s="18">
        <f t="shared" si="7"/>
        <v>218</v>
      </c>
      <c r="B223" s="37" t="s">
        <v>266</v>
      </c>
      <c r="C223" s="37" t="s">
        <v>267</v>
      </c>
      <c r="D223" s="36" t="s">
        <v>262</v>
      </c>
      <c r="E223" s="38">
        <v>165</v>
      </c>
      <c r="F223" s="38">
        <v>143</v>
      </c>
      <c r="G223" s="38">
        <v>168</v>
      </c>
      <c r="H223" s="31">
        <v>178</v>
      </c>
      <c r="I223" s="38">
        <v>199</v>
      </c>
      <c r="J223" s="38">
        <v>171</v>
      </c>
      <c r="K223" s="23">
        <f t="shared" si="6"/>
        <v>1024</v>
      </c>
    </row>
    <row r="224" spans="1:11" ht="16.5" thickBot="1">
      <c r="A224" s="18">
        <f t="shared" si="7"/>
        <v>219</v>
      </c>
      <c r="B224" s="37" t="s">
        <v>151</v>
      </c>
      <c r="C224" s="37" t="s">
        <v>152</v>
      </c>
      <c r="D224" s="36" t="s">
        <v>143</v>
      </c>
      <c r="E224" s="38">
        <v>132</v>
      </c>
      <c r="F224" s="38">
        <v>180</v>
      </c>
      <c r="G224" s="38">
        <v>169</v>
      </c>
      <c r="H224" s="31">
        <v>188</v>
      </c>
      <c r="I224" s="38">
        <v>183</v>
      </c>
      <c r="J224" s="38">
        <v>171</v>
      </c>
      <c r="K224" s="23">
        <f t="shared" si="6"/>
        <v>1023</v>
      </c>
    </row>
    <row r="225" spans="1:11" ht="16.5" thickBot="1">
      <c r="A225" s="18">
        <f t="shared" si="7"/>
        <v>220</v>
      </c>
      <c r="B225" s="37" t="s">
        <v>234</v>
      </c>
      <c r="C225" s="37" t="s">
        <v>365</v>
      </c>
      <c r="D225" s="36" t="s">
        <v>363</v>
      </c>
      <c r="E225" s="38">
        <v>180</v>
      </c>
      <c r="F225" s="38">
        <v>166</v>
      </c>
      <c r="G225" s="38">
        <v>192</v>
      </c>
      <c r="H225" s="31">
        <v>175</v>
      </c>
      <c r="I225" s="38">
        <v>161</v>
      </c>
      <c r="J225" s="38">
        <v>147</v>
      </c>
      <c r="K225" s="23">
        <f t="shared" si="6"/>
        <v>1021</v>
      </c>
    </row>
    <row r="226" spans="1:11" ht="16.5" thickBot="1">
      <c r="A226" s="18">
        <f t="shared" si="7"/>
        <v>221</v>
      </c>
      <c r="B226" s="37" t="s">
        <v>784</v>
      </c>
      <c r="C226" s="37" t="s">
        <v>785</v>
      </c>
      <c r="D226" s="36" t="s">
        <v>781</v>
      </c>
      <c r="E226" s="38">
        <v>123</v>
      </c>
      <c r="F226" s="38">
        <v>190</v>
      </c>
      <c r="G226" s="38">
        <v>168</v>
      </c>
      <c r="H226" s="31">
        <v>183</v>
      </c>
      <c r="I226" s="38">
        <v>185</v>
      </c>
      <c r="J226" s="38">
        <v>171</v>
      </c>
      <c r="K226" s="23">
        <f t="shared" si="6"/>
        <v>1020</v>
      </c>
    </row>
    <row r="227" spans="1:11" ht="16.5" thickBot="1">
      <c r="A227" s="18">
        <f t="shared" si="7"/>
        <v>222</v>
      </c>
      <c r="B227" s="37" t="s">
        <v>473</v>
      </c>
      <c r="C227" s="37" t="s">
        <v>787</v>
      </c>
      <c r="D227" s="36" t="s">
        <v>781</v>
      </c>
      <c r="E227" s="38">
        <v>189</v>
      </c>
      <c r="F227" s="38">
        <v>169</v>
      </c>
      <c r="G227" s="38">
        <v>170</v>
      </c>
      <c r="H227" s="31">
        <v>176</v>
      </c>
      <c r="I227" s="38">
        <v>146</v>
      </c>
      <c r="J227" s="38">
        <v>168</v>
      </c>
      <c r="K227" s="23">
        <f t="shared" si="6"/>
        <v>1018</v>
      </c>
    </row>
    <row r="228" spans="1:11" ht="16.5" thickBot="1">
      <c r="A228" s="18">
        <f t="shared" si="7"/>
        <v>223</v>
      </c>
      <c r="B228" s="37" t="s">
        <v>150</v>
      </c>
      <c r="C228" s="37" t="s">
        <v>721</v>
      </c>
      <c r="D228" s="36" t="s">
        <v>720</v>
      </c>
      <c r="E228" s="38">
        <v>180</v>
      </c>
      <c r="F228" s="38">
        <v>175</v>
      </c>
      <c r="G228" s="38">
        <v>134</v>
      </c>
      <c r="H228" s="31">
        <v>185</v>
      </c>
      <c r="I228" s="38">
        <v>201</v>
      </c>
      <c r="J228" s="38">
        <v>140</v>
      </c>
      <c r="K228" s="23">
        <f t="shared" si="6"/>
        <v>1015</v>
      </c>
    </row>
    <row r="229" spans="1:11" ht="16.5" thickBot="1">
      <c r="A229" s="18">
        <f t="shared" si="7"/>
        <v>224</v>
      </c>
      <c r="B229" s="37" t="s">
        <v>585</v>
      </c>
      <c r="C229" s="37" t="s">
        <v>586</v>
      </c>
      <c r="D229" s="36" t="s">
        <v>584</v>
      </c>
      <c r="E229" s="38">
        <v>177</v>
      </c>
      <c r="F229" s="38">
        <v>168</v>
      </c>
      <c r="G229" s="38">
        <v>158</v>
      </c>
      <c r="H229" s="31">
        <v>195</v>
      </c>
      <c r="I229" s="38">
        <v>168</v>
      </c>
      <c r="J229" s="38">
        <v>143</v>
      </c>
      <c r="K229" s="23">
        <f t="shared" si="6"/>
        <v>1009</v>
      </c>
    </row>
    <row r="230" spans="1:11" ht="16.5" thickBot="1">
      <c r="A230" s="18">
        <f t="shared" si="7"/>
        <v>225</v>
      </c>
      <c r="B230" s="37" t="s">
        <v>117</v>
      </c>
      <c r="C230" s="37" t="s">
        <v>118</v>
      </c>
      <c r="D230" s="36" t="s">
        <v>113</v>
      </c>
      <c r="E230" s="38">
        <v>173</v>
      </c>
      <c r="F230" s="38">
        <v>155</v>
      </c>
      <c r="G230" s="38">
        <v>133</v>
      </c>
      <c r="H230" s="31">
        <v>169</v>
      </c>
      <c r="I230" s="38">
        <v>171</v>
      </c>
      <c r="J230" s="38">
        <v>206</v>
      </c>
      <c r="K230" s="23">
        <f t="shared" si="6"/>
        <v>1007</v>
      </c>
    </row>
    <row r="231" spans="1:11" ht="16.5" thickBot="1">
      <c r="A231" s="18">
        <f t="shared" si="7"/>
        <v>226</v>
      </c>
      <c r="B231" s="37" t="s">
        <v>206</v>
      </c>
      <c r="C231" s="37" t="s">
        <v>704</v>
      </c>
      <c r="D231" s="36" t="s">
        <v>703</v>
      </c>
      <c r="E231" s="38">
        <v>157</v>
      </c>
      <c r="F231" s="38">
        <v>176</v>
      </c>
      <c r="G231" s="38">
        <v>173</v>
      </c>
      <c r="H231" s="31">
        <v>186</v>
      </c>
      <c r="I231" s="38">
        <v>140</v>
      </c>
      <c r="J231" s="38">
        <v>172</v>
      </c>
      <c r="K231" s="23">
        <f t="shared" si="6"/>
        <v>1004</v>
      </c>
    </row>
    <row r="232" spans="1:11" ht="16.5" thickBot="1">
      <c r="A232" s="18">
        <f t="shared" si="7"/>
        <v>227</v>
      </c>
      <c r="B232" s="37" t="s">
        <v>398</v>
      </c>
      <c r="C232" s="37" t="s">
        <v>399</v>
      </c>
      <c r="D232" s="36" t="s">
        <v>387</v>
      </c>
      <c r="E232" s="38">
        <v>145</v>
      </c>
      <c r="F232" s="38">
        <v>176</v>
      </c>
      <c r="G232" s="38">
        <v>176</v>
      </c>
      <c r="H232" s="31">
        <v>142</v>
      </c>
      <c r="I232" s="38">
        <v>172</v>
      </c>
      <c r="J232" s="38">
        <v>192</v>
      </c>
      <c r="K232" s="23">
        <f t="shared" si="6"/>
        <v>1003</v>
      </c>
    </row>
    <row r="233" spans="1:11" ht="16.5" thickBot="1">
      <c r="A233" s="18">
        <f t="shared" si="7"/>
        <v>228</v>
      </c>
      <c r="B233" s="37" t="s">
        <v>305</v>
      </c>
      <c r="C233" s="37" t="s">
        <v>679</v>
      </c>
      <c r="D233" s="36" t="s">
        <v>675</v>
      </c>
      <c r="E233" s="38"/>
      <c r="F233" s="38">
        <v>165</v>
      </c>
      <c r="G233" s="38">
        <v>198</v>
      </c>
      <c r="H233" s="31">
        <v>213</v>
      </c>
      <c r="I233" s="38">
        <v>213</v>
      </c>
      <c r="J233" s="38">
        <v>214</v>
      </c>
      <c r="K233" s="23">
        <f t="shared" si="6"/>
        <v>1003</v>
      </c>
    </row>
    <row r="234" spans="1:11" ht="16.5" thickBot="1">
      <c r="A234" s="18">
        <f t="shared" si="7"/>
        <v>229</v>
      </c>
      <c r="B234" s="37" t="s">
        <v>72</v>
      </c>
      <c r="C234" s="37" t="s">
        <v>543</v>
      </c>
      <c r="D234" s="36" t="s">
        <v>536</v>
      </c>
      <c r="E234" s="38">
        <v>158</v>
      </c>
      <c r="F234" s="38">
        <v>166</v>
      </c>
      <c r="G234" s="38">
        <v>189</v>
      </c>
      <c r="H234" s="31">
        <v>221</v>
      </c>
      <c r="I234" s="38">
        <v>148</v>
      </c>
      <c r="J234" s="38">
        <v>120</v>
      </c>
      <c r="K234" s="23">
        <f t="shared" si="6"/>
        <v>1002</v>
      </c>
    </row>
    <row r="235" spans="1:11" ht="16.5" thickBot="1">
      <c r="A235" s="18">
        <f t="shared" si="7"/>
        <v>230</v>
      </c>
      <c r="B235" s="37" t="s">
        <v>283</v>
      </c>
      <c r="C235" s="37" t="s">
        <v>612</v>
      </c>
      <c r="D235" s="36" t="s">
        <v>607</v>
      </c>
      <c r="E235" s="38">
        <v>149</v>
      </c>
      <c r="F235" s="38">
        <v>160</v>
      </c>
      <c r="G235" s="38">
        <v>151</v>
      </c>
      <c r="H235" s="31">
        <v>203</v>
      </c>
      <c r="I235" s="38">
        <v>143</v>
      </c>
      <c r="J235" s="38">
        <v>194</v>
      </c>
      <c r="K235" s="23">
        <f t="shared" si="6"/>
        <v>1000</v>
      </c>
    </row>
    <row r="236" spans="1:11" ht="16.5" thickBot="1">
      <c r="A236" s="18">
        <f t="shared" si="7"/>
        <v>231</v>
      </c>
      <c r="B236" s="37" t="s">
        <v>101</v>
      </c>
      <c r="C236" s="37" t="s">
        <v>528</v>
      </c>
      <c r="D236" s="36" t="s">
        <v>526</v>
      </c>
      <c r="E236" s="38">
        <v>141</v>
      </c>
      <c r="F236" s="38">
        <v>142</v>
      </c>
      <c r="G236" s="38">
        <v>140</v>
      </c>
      <c r="H236" s="31">
        <v>180</v>
      </c>
      <c r="I236" s="38">
        <v>213</v>
      </c>
      <c r="J236" s="38">
        <v>183</v>
      </c>
      <c r="K236" s="23">
        <f t="shared" si="6"/>
        <v>999</v>
      </c>
    </row>
    <row r="237" spans="1:11" ht="16.5" thickBot="1">
      <c r="A237" s="18">
        <f t="shared" si="7"/>
        <v>232</v>
      </c>
      <c r="B237" s="37" t="s">
        <v>351</v>
      </c>
      <c r="C237" s="37" t="s">
        <v>563</v>
      </c>
      <c r="D237" s="36" t="s">
        <v>557</v>
      </c>
      <c r="E237" s="38">
        <v>175</v>
      </c>
      <c r="F237" s="38">
        <v>160</v>
      </c>
      <c r="G237" s="38">
        <v>203</v>
      </c>
      <c r="H237" s="31">
        <v>135</v>
      </c>
      <c r="I237" s="38">
        <v>195</v>
      </c>
      <c r="J237" s="38">
        <v>131</v>
      </c>
      <c r="K237" s="23">
        <f t="shared" si="6"/>
        <v>999</v>
      </c>
    </row>
    <row r="238" spans="1:11" ht="16.5" thickBot="1">
      <c r="A238" s="18">
        <f t="shared" si="7"/>
        <v>233</v>
      </c>
      <c r="B238" s="37" t="s">
        <v>383</v>
      </c>
      <c r="C238" s="37" t="s">
        <v>384</v>
      </c>
      <c r="D238" s="36" t="s">
        <v>373</v>
      </c>
      <c r="E238" s="38">
        <v>169</v>
      </c>
      <c r="F238" s="38">
        <v>142</v>
      </c>
      <c r="G238" s="38">
        <v>178</v>
      </c>
      <c r="H238" s="31">
        <v>140</v>
      </c>
      <c r="I238" s="38">
        <v>180</v>
      </c>
      <c r="J238" s="38">
        <v>187</v>
      </c>
      <c r="K238" s="23">
        <f t="shared" si="6"/>
        <v>996</v>
      </c>
    </row>
    <row r="239" spans="1:11" ht="16.5" thickBot="1">
      <c r="A239" s="18">
        <f t="shared" si="7"/>
        <v>234</v>
      </c>
      <c r="B239" s="37" t="s">
        <v>68</v>
      </c>
      <c r="C239" s="37" t="s">
        <v>69</v>
      </c>
      <c r="D239" s="36" t="s">
        <v>61</v>
      </c>
      <c r="E239" s="38">
        <v>136</v>
      </c>
      <c r="F239" s="38">
        <v>207</v>
      </c>
      <c r="G239" s="38">
        <v>142</v>
      </c>
      <c r="H239" s="31">
        <v>196</v>
      </c>
      <c r="I239" s="38">
        <v>173</v>
      </c>
      <c r="J239" s="38">
        <v>139</v>
      </c>
      <c r="K239" s="23">
        <f t="shared" si="6"/>
        <v>993</v>
      </c>
    </row>
    <row r="240" spans="1:11" ht="16.5" thickBot="1">
      <c r="A240" s="18">
        <f t="shared" si="7"/>
        <v>235</v>
      </c>
      <c r="B240" s="37" t="s">
        <v>45</v>
      </c>
      <c r="C240" s="37" t="s">
        <v>566</v>
      </c>
      <c r="D240" s="36" t="s">
        <v>565</v>
      </c>
      <c r="E240" s="38">
        <v>148</v>
      </c>
      <c r="F240" s="38"/>
      <c r="G240" s="38">
        <v>211</v>
      </c>
      <c r="H240" s="31">
        <v>211</v>
      </c>
      <c r="I240" s="38">
        <v>214</v>
      </c>
      <c r="J240" s="38">
        <v>206</v>
      </c>
      <c r="K240" s="23">
        <f t="shared" si="6"/>
        <v>990</v>
      </c>
    </row>
    <row r="241" spans="1:11" ht="16.5" thickBot="1">
      <c r="A241" s="18">
        <f t="shared" si="7"/>
        <v>236</v>
      </c>
      <c r="B241" s="37" t="s">
        <v>55</v>
      </c>
      <c r="C241" s="37" t="s">
        <v>56</v>
      </c>
      <c r="D241" s="36" t="s">
        <v>44</v>
      </c>
      <c r="E241" s="38">
        <v>164</v>
      </c>
      <c r="F241" s="38">
        <v>183</v>
      </c>
      <c r="G241" s="38">
        <v>163</v>
      </c>
      <c r="H241" s="31">
        <v>184</v>
      </c>
      <c r="I241" s="38">
        <v>162</v>
      </c>
      <c r="J241" s="38">
        <v>131</v>
      </c>
      <c r="K241" s="23">
        <f t="shared" si="6"/>
        <v>987</v>
      </c>
    </row>
    <row r="242" spans="1:11" ht="16.5" thickBot="1">
      <c r="A242" s="18">
        <f t="shared" si="7"/>
        <v>237</v>
      </c>
      <c r="B242" s="37" t="s">
        <v>30</v>
      </c>
      <c r="C242" s="37" t="s">
        <v>204</v>
      </c>
      <c r="D242" s="36" t="s">
        <v>190</v>
      </c>
      <c r="E242" s="38">
        <v>141</v>
      </c>
      <c r="F242" s="38">
        <v>159</v>
      </c>
      <c r="G242" s="38">
        <v>169</v>
      </c>
      <c r="H242" s="31">
        <v>190</v>
      </c>
      <c r="I242" s="38">
        <v>179</v>
      </c>
      <c r="J242" s="38">
        <v>149</v>
      </c>
      <c r="K242" s="23">
        <f t="shared" si="6"/>
        <v>987</v>
      </c>
    </row>
    <row r="243" spans="1:11" ht="16.5" thickBot="1">
      <c r="A243" s="18">
        <f t="shared" si="7"/>
        <v>238</v>
      </c>
      <c r="B243" s="37" t="s">
        <v>199</v>
      </c>
      <c r="C243" s="37" t="s">
        <v>200</v>
      </c>
      <c r="D243" s="36" t="s">
        <v>190</v>
      </c>
      <c r="E243" s="38">
        <v>173</v>
      </c>
      <c r="F243" s="38">
        <v>148</v>
      </c>
      <c r="G243" s="38">
        <v>201</v>
      </c>
      <c r="H243" s="31">
        <v>174</v>
      </c>
      <c r="I243" s="38">
        <v>126</v>
      </c>
      <c r="J243" s="38">
        <v>164</v>
      </c>
      <c r="K243" s="23">
        <f t="shared" si="6"/>
        <v>986</v>
      </c>
    </row>
    <row r="244" spans="1:11" ht="16.5" thickBot="1">
      <c r="A244" s="18">
        <f t="shared" si="7"/>
        <v>239</v>
      </c>
      <c r="B244" s="37" t="s">
        <v>344</v>
      </c>
      <c r="C244" s="37" t="s">
        <v>472</v>
      </c>
      <c r="D244" s="36" t="s">
        <v>464</v>
      </c>
      <c r="E244" s="38">
        <v>166</v>
      </c>
      <c r="F244" s="38">
        <v>190</v>
      </c>
      <c r="G244" s="38">
        <v>142</v>
      </c>
      <c r="H244" s="31"/>
      <c r="I244" s="38">
        <v>211</v>
      </c>
      <c r="J244" s="38">
        <v>276</v>
      </c>
      <c r="K244" s="23">
        <f t="shared" si="6"/>
        <v>985</v>
      </c>
    </row>
    <row r="245" spans="1:11" ht="16.5" thickBot="1">
      <c r="A245" s="18">
        <f t="shared" si="7"/>
        <v>240</v>
      </c>
      <c r="B245" s="37" t="s">
        <v>38</v>
      </c>
      <c r="C245" s="37" t="s">
        <v>39</v>
      </c>
      <c r="D245" s="36" t="s">
        <v>27</v>
      </c>
      <c r="E245" s="38"/>
      <c r="F245" s="38">
        <v>166</v>
      </c>
      <c r="G245" s="38">
        <v>171</v>
      </c>
      <c r="H245" s="31">
        <v>220</v>
      </c>
      <c r="I245" s="38">
        <v>186</v>
      </c>
      <c r="J245" s="38">
        <v>236</v>
      </c>
      <c r="K245" s="23">
        <f t="shared" si="6"/>
        <v>979</v>
      </c>
    </row>
    <row r="246" spans="1:11" ht="16.5" thickBot="1">
      <c r="A246" s="18">
        <f t="shared" si="7"/>
        <v>241</v>
      </c>
      <c r="B246" s="37" t="s">
        <v>79</v>
      </c>
      <c r="C246" s="37" t="s">
        <v>366</v>
      </c>
      <c r="D246" s="36" t="s">
        <v>363</v>
      </c>
      <c r="E246" s="38">
        <v>151</v>
      </c>
      <c r="F246" s="38">
        <v>151</v>
      </c>
      <c r="G246" s="38">
        <v>138</v>
      </c>
      <c r="H246" s="31">
        <v>221</v>
      </c>
      <c r="I246" s="38">
        <v>165</v>
      </c>
      <c r="J246" s="38">
        <v>153</v>
      </c>
      <c r="K246" s="23">
        <f t="shared" si="6"/>
        <v>979</v>
      </c>
    </row>
    <row r="247" spans="1:11" ht="16.5" thickBot="1">
      <c r="A247" s="18">
        <f t="shared" si="7"/>
        <v>242</v>
      </c>
      <c r="B247" s="37" t="s">
        <v>276</v>
      </c>
      <c r="C247" s="37" t="s">
        <v>277</v>
      </c>
      <c r="D247" s="36" t="s">
        <v>271</v>
      </c>
      <c r="E247" s="38">
        <v>135</v>
      </c>
      <c r="F247" s="38">
        <v>190</v>
      </c>
      <c r="G247" s="38">
        <v>124</v>
      </c>
      <c r="H247" s="31">
        <v>165</v>
      </c>
      <c r="I247" s="38">
        <v>210</v>
      </c>
      <c r="J247" s="38">
        <v>154</v>
      </c>
      <c r="K247" s="23">
        <f t="shared" si="6"/>
        <v>978</v>
      </c>
    </row>
    <row r="248" spans="1:11" ht="16.5" thickBot="1">
      <c r="A248" s="18">
        <f t="shared" si="7"/>
        <v>243</v>
      </c>
      <c r="B248" s="37" t="s">
        <v>322</v>
      </c>
      <c r="C248" s="37" t="s">
        <v>397</v>
      </c>
      <c r="D248" s="36" t="s">
        <v>387</v>
      </c>
      <c r="E248" s="38">
        <v>114</v>
      </c>
      <c r="F248" s="38">
        <v>126</v>
      </c>
      <c r="G248" s="38">
        <v>192</v>
      </c>
      <c r="H248" s="31">
        <v>182</v>
      </c>
      <c r="I248" s="38">
        <v>173</v>
      </c>
      <c r="J248" s="38">
        <v>191</v>
      </c>
      <c r="K248" s="23">
        <f t="shared" si="6"/>
        <v>978</v>
      </c>
    </row>
    <row r="249" spans="1:11" ht="16.5" thickBot="1">
      <c r="A249" s="18">
        <f t="shared" si="7"/>
        <v>244</v>
      </c>
      <c r="B249" s="37" t="s">
        <v>286</v>
      </c>
      <c r="C249" s="37" t="s">
        <v>747</v>
      </c>
      <c r="D249" s="36" t="s">
        <v>741</v>
      </c>
      <c r="E249" s="38">
        <v>135</v>
      </c>
      <c r="F249" s="38">
        <v>168</v>
      </c>
      <c r="G249" s="38">
        <v>144</v>
      </c>
      <c r="H249" s="31">
        <v>192</v>
      </c>
      <c r="I249" s="38">
        <v>137</v>
      </c>
      <c r="J249" s="38">
        <v>199</v>
      </c>
      <c r="K249" s="23">
        <f t="shared" si="6"/>
        <v>975</v>
      </c>
    </row>
    <row r="250" spans="1:11" ht="16.5" thickBot="1">
      <c r="A250" s="18">
        <f t="shared" si="7"/>
        <v>245</v>
      </c>
      <c r="B250" s="37" t="s">
        <v>245</v>
      </c>
      <c r="C250" s="37" t="s">
        <v>535</v>
      </c>
      <c r="D250" s="36" t="s">
        <v>526</v>
      </c>
      <c r="E250" s="38">
        <v>161</v>
      </c>
      <c r="F250" s="38">
        <v>153</v>
      </c>
      <c r="G250" s="38">
        <v>186</v>
      </c>
      <c r="H250" s="31">
        <v>161</v>
      </c>
      <c r="I250" s="38">
        <v>133</v>
      </c>
      <c r="J250" s="38">
        <v>177</v>
      </c>
      <c r="K250" s="23">
        <f t="shared" si="6"/>
        <v>971</v>
      </c>
    </row>
    <row r="251" spans="1:11" ht="16.5" thickBot="1">
      <c r="A251" s="18">
        <f t="shared" si="7"/>
        <v>246</v>
      </c>
      <c r="B251" s="37" t="s">
        <v>672</v>
      </c>
      <c r="C251" s="37" t="s">
        <v>673</v>
      </c>
      <c r="D251" s="36" t="s">
        <v>665</v>
      </c>
      <c r="E251" s="38">
        <v>158</v>
      </c>
      <c r="F251" s="38">
        <v>183</v>
      </c>
      <c r="G251" s="38">
        <v>150</v>
      </c>
      <c r="H251" s="31">
        <v>178</v>
      </c>
      <c r="I251" s="38">
        <v>153</v>
      </c>
      <c r="J251" s="38">
        <v>147</v>
      </c>
      <c r="K251" s="23">
        <f t="shared" si="6"/>
        <v>969</v>
      </c>
    </row>
    <row r="252" spans="1:11" ht="16.5" thickBot="1">
      <c r="A252" s="18">
        <f t="shared" si="7"/>
        <v>247</v>
      </c>
      <c r="B252" s="37" t="s">
        <v>75</v>
      </c>
      <c r="C252" s="37" t="s">
        <v>682</v>
      </c>
      <c r="D252" s="36" t="s">
        <v>675</v>
      </c>
      <c r="E252" s="38">
        <v>165</v>
      </c>
      <c r="F252" s="38">
        <v>236</v>
      </c>
      <c r="G252" s="38">
        <v>205</v>
      </c>
      <c r="H252" s="31">
        <v>211</v>
      </c>
      <c r="I252" s="38">
        <v>149</v>
      </c>
      <c r="J252" s="38"/>
      <c r="K252" s="23">
        <f t="shared" si="6"/>
        <v>966</v>
      </c>
    </row>
    <row r="253" spans="1:11" ht="16.5" thickBot="1">
      <c r="A253" s="18">
        <f t="shared" si="7"/>
        <v>248</v>
      </c>
      <c r="B253" s="37" t="s">
        <v>115</v>
      </c>
      <c r="C253" s="37" t="s">
        <v>116</v>
      </c>
      <c r="D253" s="36" t="s">
        <v>113</v>
      </c>
      <c r="E253" s="38">
        <v>149</v>
      </c>
      <c r="F253" s="38">
        <v>153</v>
      </c>
      <c r="G253" s="38">
        <v>140</v>
      </c>
      <c r="H253" s="31">
        <v>146</v>
      </c>
      <c r="I253" s="38">
        <v>163</v>
      </c>
      <c r="J253" s="38">
        <v>214</v>
      </c>
      <c r="K253" s="23">
        <f t="shared" si="6"/>
        <v>965</v>
      </c>
    </row>
    <row r="254" spans="1:11" ht="16.5" thickBot="1">
      <c r="A254" s="18">
        <f t="shared" si="7"/>
        <v>249</v>
      </c>
      <c r="B254" s="37" t="s">
        <v>40</v>
      </c>
      <c r="C254" s="37" t="s">
        <v>41</v>
      </c>
      <c r="D254" s="36" t="s">
        <v>27</v>
      </c>
      <c r="E254" s="38">
        <v>185</v>
      </c>
      <c r="F254" s="38">
        <v>223</v>
      </c>
      <c r="G254" s="38">
        <v>193</v>
      </c>
      <c r="H254" s="31">
        <v>210</v>
      </c>
      <c r="I254" s="38">
        <v>151</v>
      </c>
      <c r="J254" s="38"/>
      <c r="K254" s="23">
        <f t="shared" si="6"/>
        <v>962</v>
      </c>
    </row>
    <row r="255" spans="1:11" ht="16.5" thickBot="1">
      <c r="A255" s="18">
        <f t="shared" si="7"/>
        <v>250</v>
      </c>
      <c r="B255" s="37" t="s">
        <v>553</v>
      </c>
      <c r="C255" s="37" t="s">
        <v>554</v>
      </c>
      <c r="D255" s="36" t="s">
        <v>547</v>
      </c>
      <c r="E255" s="38"/>
      <c r="F255" s="38">
        <v>192</v>
      </c>
      <c r="G255" s="38">
        <v>191</v>
      </c>
      <c r="H255" s="31">
        <v>184</v>
      </c>
      <c r="I255" s="38">
        <v>225</v>
      </c>
      <c r="J255" s="38">
        <v>170</v>
      </c>
      <c r="K255" s="23">
        <f t="shared" si="6"/>
        <v>962</v>
      </c>
    </row>
    <row r="256" spans="1:11" ht="16.5" thickBot="1">
      <c r="A256" s="18">
        <f t="shared" si="7"/>
        <v>251</v>
      </c>
      <c r="B256" s="37" t="s">
        <v>159</v>
      </c>
      <c r="C256" s="37" t="s">
        <v>520</v>
      </c>
      <c r="D256" s="36" t="s">
        <v>514</v>
      </c>
      <c r="E256" s="38">
        <v>183</v>
      </c>
      <c r="F256" s="38">
        <v>155</v>
      </c>
      <c r="G256" s="38">
        <v>155</v>
      </c>
      <c r="H256" s="31">
        <v>171</v>
      </c>
      <c r="I256" s="38">
        <v>149</v>
      </c>
      <c r="J256" s="38">
        <v>148</v>
      </c>
      <c r="K256" s="23">
        <f t="shared" si="6"/>
        <v>961</v>
      </c>
    </row>
    <row r="257" spans="1:11" ht="16.5" thickBot="1">
      <c r="A257" s="18">
        <f t="shared" si="7"/>
        <v>252</v>
      </c>
      <c r="B257" s="37" t="s">
        <v>141</v>
      </c>
      <c r="C257" s="37" t="s">
        <v>142</v>
      </c>
      <c r="D257" s="36" t="s">
        <v>127</v>
      </c>
      <c r="E257" s="38"/>
      <c r="F257" s="38">
        <v>187</v>
      </c>
      <c r="G257" s="38">
        <v>168</v>
      </c>
      <c r="H257" s="31">
        <v>161</v>
      </c>
      <c r="I257" s="38">
        <v>205</v>
      </c>
      <c r="J257" s="38">
        <v>239</v>
      </c>
      <c r="K257" s="23">
        <f t="shared" si="6"/>
        <v>960</v>
      </c>
    </row>
    <row r="258" spans="1:11" ht="16.5" thickBot="1">
      <c r="A258" s="18">
        <f t="shared" si="7"/>
        <v>253</v>
      </c>
      <c r="B258" s="37" t="s">
        <v>182</v>
      </c>
      <c r="C258" s="37" t="s">
        <v>183</v>
      </c>
      <c r="D258" s="36" t="s">
        <v>180</v>
      </c>
      <c r="E258" s="38">
        <v>183</v>
      </c>
      <c r="F258" s="38">
        <v>204</v>
      </c>
      <c r="G258" s="38">
        <v>185</v>
      </c>
      <c r="H258" s="31">
        <v>183</v>
      </c>
      <c r="I258" s="38">
        <v>204</v>
      </c>
      <c r="J258" s="38"/>
      <c r="K258" s="23">
        <f t="shared" si="6"/>
        <v>959</v>
      </c>
    </row>
    <row r="259" spans="1:11" ht="16.5" thickBot="1">
      <c r="A259" s="18">
        <f t="shared" si="7"/>
        <v>254</v>
      </c>
      <c r="B259" s="37" t="s">
        <v>857</v>
      </c>
      <c r="C259" s="37" t="s">
        <v>858</v>
      </c>
      <c r="D259" s="36" t="s">
        <v>856</v>
      </c>
      <c r="E259" s="38">
        <v>202</v>
      </c>
      <c r="F259" s="38">
        <v>203</v>
      </c>
      <c r="G259" s="38">
        <v>183</v>
      </c>
      <c r="H259" s="31">
        <v>216</v>
      </c>
      <c r="I259" s="38">
        <v>154</v>
      </c>
      <c r="J259" s="38"/>
      <c r="K259" s="23">
        <f t="shared" si="6"/>
        <v>958</v>
      </c>
    </row>
    <row r="260" spans="1:11" ht="16.5" thickBot="1">
      <c r="A260" s="18">
        <f t="shared" si="7"/>
        <v>255</v>
      </c>
      <c r="B260" s="37" t="s">
        <v>266</v>
      </c>
      <c r="C260" s="37" t="s">
        <v>776</v>
      </c>
      <c r="D260" s="36" t="s">
        <v>772</v>
      </c>
      <c r="E260" s="38">
        <v>162</v>
      </c>
      <c r="F260" s="38"/>
      <c r="G260" s="38">
        <v>214</v>
      </c>
      <c r="H260" s="31">
        <v>202</v>
      </c>
      <c r="I260" s="38">
        <v>180</v>
      </c>
      <c r="J260" s="38">
        <v>198</v>
      </c>
      <c r="K260" s="23">
        <f t="shared" si="6"/>
        <v>956</v>
      </c>
    </row>
    <row r="261" spans="1:11" ht="16.5" thickBot="1">
      <c r="A261" s="18">
        <f t="shared" si="7"/>
        <v>256</v>
      </c>
      <c r="B261" s="37" t="s">
        <v>532</v>
      </c>
      <c r="C261" s="37" t="s">
        <v>533</v>
      </c>
      <c r="D261" s="36" t="s">
        <v>526</v>
      </c>
      <c r="E261" s="38">
        <v>180</v>
      </c>
      <c r="F261" s="38">
        <v>174</v>
      </c>
      <c r="G261" s="38">
        <v>153</v>
      </c>
      <c r="H261" s="31">
        <v>124</v>
      </c>
      <c r="I261" s="38">
        <v>137</v>
      </c>
      <c r="J261" s="38">
        <v>180</v>
      </c>
      <c r="K261" s="23">
        <f t="shared" si="6"/>
        <v>948</v>
      </c>
    </row>
    <row r="262" spans="1:11" ht="16.5" thickBot="1">
      <c r="A262" s="18">
        <f t="shared" si="7"/>
        <v>257</v>
      </c>
      <c r="B262" s="37" t="s">
        <v>660</v>
      </c>
      <c r="C262" s="37" t="s">
        <v>661</v>
      </c>
      <c r="D262" s="36" t="s">
        <v>654</v>
      </c>
      <c r="E262" s="38"/>
      <c r="F262" s="38">
        <v>139</v>
      </c>
      <c r="G262" s="38">
        <v>173</v>
      </c>
      <c r="H262" s="31">
        <v>220</v>
      </c>
      <c r="I262" s="38">
        <v>236</v>
      </c>
      <c r="J262" s="38">
        <v>179</v>
      </c>
      <c r="K262" s="23">
        <f t="shared" ref="K262:K325" si="8">SUM(E262:J262)</f>
        <v>947</v>
      </c>
    </row>
    <row r="263" spans="1:11" ht="16.5" thickBot="1">
      <c r="A263" s="18">
        <f t="shared" si="7"/>
        <v>258</v>
      </c>
      <c r="B263" s="37" t="s">
        <v>206</v>
      </c>
      <c r="C263" s="37" t="s">
        <v>126</v>
      </c>
      <c r="D263" s="36" t="s">
        <v>373</v>
      </c>
      <c r="E263" s="38">
        <v>122</v>
      </c>
      <c r="F263" s="38"/>
      <c r="G263" s="38">
        <v>176</v>
      </c>
      <c r="H263" s="31">
        <v>220</v>
      </c>
      <c r="I263" s="38">
        <v>222</v>
      </c>
      <c r="J263" s="38">
        <v>206</v>
      </c>
      <c r="K263" s="23">
        <f t="shared" si="8"/>
        <v>946</v>
      </c>
    </row>
    <row r="264" spans="1:11" ht="16.5" thickBot="1">
      <c r="A264" s="18">
        <f t="shared" ref="A264:A327" si="9">A263+1</f>
        <v>259</v>
      </c>
      <c r="B264" s="37" t="s">
        <v>193</v>
      </c>
      <c r="C264" s="37" t="s">
        <v>194</v>
      </c>
      <c r="D264" s="36" t="s">
        <v>190</v>
      </c>
      <c r="E264" s="38">
        <v>152</v>
      </c>
      <c r="F264" s="38">
        <v>123</v>
      </c>
      <c r="G264" s="38">
        <v>192</v>
      </c>
      <c r="H264" s="31">
        <v>178</v>
      </c>
      <c r="I264" s="38">
        <v>178</v>
      </c>
      <c r="J264" s="38">
        <v>121</v>
      </c>
      <c r="K264" s="23">
        <f t="shared" si="8"/>
        <v>944</v>
      </c>
    </row>
    <row r="265" spans="1:11" ht="16.5" thickBot="1">
      <c r="A265" s="18">
        <f t="shared" si="9"/>
        <v>260</v>
      </c>
      <c r="B265" s="37" t="s">
        <v>92</v>
      </c>
      <c r="C265" s="37" t="s">
        <v>270</v>
      </c>
      <c r="D265" s="36" t="s">
        <v>262</v>
      </c>
      <c r="E265" s="38">
        <v>151</v>
      </c>
      <c r="F265" s="38">
        <v>169</v>
      </c>
      <c r="G265" s="38">
        <v>131</v>
      </c>
      <c r="H265" s="31">
        <v>144</v>
      </c>
      <c r="I265" s="38">
        <v>181</v>
      </c>
      <c r="J265" s="38">
        <v>168</v>
      </c>
      <c r="K265" s="23">
        <f t="shared" si="8"/>
        <v>944</v>
      </c>
    </row>
    <row r="266" spans="1:11" ht="16.5" thickBot="1">
      <c r="A266" s="18">
        <f t="shared" si="9"/>
        <v>261</v>
      </c>
      <c r="B266" s="37" t="s">
        <v>707</v>
      </c>
      <c r="C266" s="37" t="s">
        <v>708</v>
      </c>
      <c r="D266" s="36" t="s">
        <v>703</v>
      </c>
      <c r="E266" s="38">
        <v>154</v>
      </c>
      <c r="F266" s="38">
        <v>176</v>
      </c>
      <c r="G266" s="38">
        <v>155</v>
      </c>
      <c r="H266" s="31">
        <v>153</v>
      </c>
      <c r="I266" s="38">
        <v>150</v>
      </c>
      <c r="J266" s="38">
        <v>156</v>
      </c>
      <c r="K266" s="23">
        <f t="shared" si="8"/>
        <v>944</v>
      </c>
    </row>
    <row r="267" spans="1:11" ht="16.5" thickBot="1">
      <c r="A267" s="18">
        <f t="shared" si="9"/>
        <v>262</v>
      </c>
      <c r="B267" s="37" t="s">
        <v>241</v>
      </c>
      <c r="C267" s="37" t="s">
        <v>242</v>
      </c>
      <c r="D267" s="36" t="s">
        <v>231</v>
      </c>
      <c r="E267" s="38">
        <v>165</v>
      </c>
      <c r="F267" s="38">
        <v>182</v>
      </c>
      <c r="G267" s="38">
        <v>177</v>
      </c>
      <c r="H267" s="31">
        <v>191</v>
      </c>
      <c r="I267" s="38">
        <v>226</v>
      </c>
      <c r="J267" s="38"/>
      <c r="K267" s="23">
        <f t="shared" si="8"/>
        <v>941</v>
      </c>
    </row>
    <row r="268" spans="1:11" ht="16.5" thickBot="1">
      <c r="A268" s="18">
        <f t="shared" si="9"/>
        <v>263</v>
      </c>
      <c r="B268" s="37" t="s">
        <v>30</v>
      </c>
      <c r="C268" s="37" t="s">
        <v>803</v>
      </c>
      <c r="D268" s="36" t="s">
        <v>799</v>
      </c>
      <c r="E268" s="38">
        <v>170</v>
      </c>
      <c r="F268" s="38">
        <v>169</v>
      </c>
      <c r="G268" s="38">
        <v>191</v>
      </c>
      <c r="H268" s="31">
        <v>224</v>
      </c>
      <c r="I268" s="38">
        <v>185</v>
      </c>
      <c r="J268" s="38"/>
      <c r="K268" s="23">
        <f t="shared" si="8"/>
        <v>939</v>
      </c>
    </row>
    <row r="269" spans="1:11" ht="16.5" thickBot="1">
      <c r="A269" s="18">
        <f t="shared" si="9"/>
        <v>264</v>
      </c>
      <c r="B269" s="37" t="s">
        <v>569</v>
      </c>
      <c r="C269" s="37" t="s">
        <v>60</v>
      </c>
      <c r="D269" s="36" t="s">
        <v>856</v>
      </c>
      <c r="E269" s="38">
        <v>190</v>
      </c>
      <c r="F269" s="38">
        <v>184</v>
      </c>
      <c r="G269" s="38">
        <v>204</v>
      </c>
      <c r="H269" s="31">
        <v>174</v>
      </c>
      <c r="I269" s="38"/>
      <c r="J269" s="38">
        <v>185</v>
      </c>
      <c r="K269" s="23">
        <f t="shared" si="8"/>
        <v>937</v>
      </c>
    </row>
    <row r="270" spans="1:11" ht="16.5" thickBot="1">
      <c r="A270" s="18">
        <f t="shared" si="9"/>
        <v>265</v>
      </c>
      <c r="B270" s="37" t="s">
        <v>97</v>
      </c>
      <c r="C270" s="37" t="s">
        <v>871</v>
      </c>
      <c r="D270" s="36" t="s">
        <v>865</v>
      </c>
      <c r="E270" s="38">
        <v>145</v>
      </c>
      <c r="F270" s="38">
        <v>125</v>
      </c>
      <c r="G270" s="38">
        <v>158</v>
      </c>
      <c r="H270" s="31">
        <v>181</v>
      </c>
      <c r="I270" s="38">
        <v>179</v>
      </c>
      <c r="J270" s="38">
        <v>146</v>
      </c>
      <c r="K270" s="23">
        <f t="shared" si="8"/>
        <v>934</v>
      </c>
    </row>
    <row r="271" spans="1:11" ht="16.5" thickBot="1">
      <c r="A271" s="18">
        <f t="shared" si="9"/>
        <v>266</v>
      </c>
      <c r="B271" s="37" t="s">
        <v>394</v>
      </c>
      <c r="C271" s="37" t="s">
        <v>395</v>
      </c>
      <c r="D271" s="36" t="s">
        <v>387</v>
      </c>
      <c r="E271" s="38">
        <v>170</v>
      </c>
      <c r="F271" s="38">
        <v>144</v>
      </c>
      <c r="G271" s="38">
        <v>153</v>
      </c>
      <c r="H271" s="31">
        <v>174</v>
      </c>
      <c r="I271" s="38">
        <v>129</v>
      </c>
      <c r="J271" s="38">
        <v>160</v>
      </c>
      <c r="K271" s="23">
        <f t="shared" si="8"/>
        <v>930</v>
      </c>
    </row>
    <row r="272" spans="1:11" ht="16.5" thickBot="1">
      <c r="A272" s="18">
        <f t="shared" si="9"/>
        <v>267</v>
      </c>
      <c r="B272" s="37" t="s">
        <v>45</v>
      </c>
      <c r="C272" s="37" t="s">
        <v>678</v>
      </c>
      <c r="D272" s="36" t="s">
        <v>675</v>
      </c>
      <c r="E272" s="38"/>
      <c r="F272" s="38">
        <v>242</v>
      </c>
      <c r="G272" s="38">
        <v>180</v>
      </c>
      <c r="H272" s="31">
        <v>144</v>
      </c>
      <c r="I272" s="38">
        <v>179</v>
      </c>
      <c r="J272" s="38">
        <v>184</v>
      </c>
      <c r="K272" s="23">
        <f t="shared" si="8"/>
        <v>929</v>
      </c>
    </row>
    <row r="273" spans="1:11" ht="16.5" thickBot="1">
      <c r="A273" s="18">
        <f t="shared" si="9"/>
        <v>268</v>
      </c>
      <c r="B273" s="37" t="s">
        <v>89</v>
      </c>
      <c r="C273" s="37" t="s">
        <v>486</v>
      </c>
      <c r="D273" s="36" t="s">
        <v>479</v>
      </c>
      <c r="E273" s="38">
        <v>143</v>
      </c>
      <c r="F273" s="38"/>
      <c r="G273" s="38">
        <v>182</v>
      </c>
      <c r="H273" s="31">
        <v>219</v>
      </c>
      <c r="I273" s="38">
        <v>212</v>
      </c>
      <c r="J273" s="38">
        <v>168</v>
      </c>
      <c r="K273" s="23">
        <f t="shared" si="8"/>
        <v>924</v>
      </c>
    </row>
    <row r="274" spans="1:11" ht="16.5" thickBot="1">
      <c r="A274" s="18">
        <f t="shared" si="9"/>
        <v>269</v>
      </c>
      <c r="B274" s="37" t="s">
        <v>30</v>
      </c>
      <c r="C274" s="37" t="s">
        <v>756</v>
      </c>
      <c r="D274" s="36" t="s">
        <v>751</v>
      </c>
      <c r="E274" s="38">
        <v>176</v>
      </c>
      <c r="F274" s="38"/>
      <c r="G274" s="38">
        <v>201</v>
      </c>
      <c r="H274" s="31">
        <v>173</v>
      </c>
      <c r="I274" s="38">
        <v>176</v>
      </c>
      <c r="J274" s="38">
        <v>198</v>
      </c>
      <c r="K274" s="23">
        <f t="shared" si="8"/>
        <v>924</v>
      </c>
    </row>
    <row r="275" spans="1:11" ht="16.5" thickBot="1">
      <c r="A275" s="18">
        <f t="shared" si="9"/>
        <v>270</v>
      </c>
      <c r="B275" s="37" t="s">
        <v>516</v>
      </c>
      <c r="C275" s="37" t="s">
        <v>517</v>
      </c>
      <c r="D275" s="36" t="s">
        <v>514</v>
      </c>
      <c r="E275" s="38">
        <v>172</v>
      </c>
      <c r="F275" s="38"/>
      <c r="G275" s="38">
        <v>221</v>
      </c>
      <c r="H275" s="31">
        <v>191</v>
      </c>
      <c r="I275" s="38">
        <v>180</v>
      </c>
      <c r="J275" s="38">
        <v>157</v>
      </c>
      <c r="K275" s="23">
        <f t="shared" si="8"/>
        <v>921</v>
      </c>
    </row>
    <row r="276" spans="1:11" ht="16.5" thickBot="1">
      <c r="A276" s="18">
        <f t="shared" si="9"/>
        <v>271</v>
      </c>
      <c r="B276" s="37" t="s">
        <v>32</v>
      </c>
      <c r="C276" s="37" t="s">
        <v>640</v>
      </c>
      <c r="D276" s="36" t="s">
        <v>636</v>
      </c>
      <c r="E276" s="38">
        <v>152</v>
      </c>
      <c r="F276" s="38"/>
      <c r="G276" s="38">
        <v>172</v>
      </c>
      <c r="H276" s="31">
        <v>190</v>
      </c>
      <c r="I276" s="38">
        <v>191</v>
      </c>
      <c r="J276" s="38">
        <v>213</v>
      </c>
      <c r="K276" s="23">
        <f t="shared" si="8"/>
        <v>918</v>
      </c>
    </row>
    <row r="277" spans="1:11" ht="16.5" thickBot="1">
      <c r="A277" s="18">
        <f t="shared" si="9"/>
        <v>272</v>
      </c>
      <c r="B277" s="37" t="s">
        <v>210</v>
      </c>
      <c r="C277" s="37" t="s">
        <v>211</v>
      </c>
      <c r="D277" s="36" t="s">
        <v>205</v>
      </c>
      <c r="E277" s="38">
        <v>137</v>
      </c>
      <c r="F277" s="38">
        <v>193</v>
      </c>
      <c r="G277" s="38">
        <v>213</v>
      </c>
      <c r="H277" s="31">
        <v>194</v>
      </c>
      <c r="I277" s="38">
        <v>178</v>
      </c>
      <c r="J277" s="38"/>
      <c r="K277" s="23">
        <f t="shared" si="8"/>
        <v>915</v>
      </c>
    </row>
    <row r="278" spans="1:11" ht="16.5" thickBot="1">
      <c r="A278" s="18">
        <f t="shared" si="9"/>
        <v>273</v>
      </c>
      <c r="B278" s="37" t="s">
        <v>824</v>
      </c>
      <c r="C278" s="37" t="s">
        <v>825</v>
      </c>
      <c r="D278" s="36" t="s">
        <v>817</v>
      </c>
      <c r="E278" s="38">
        <v>156</v>
      </c>
      <c r="F278" s="38"/>
      <c r="G278" s="38">
        <v>179</v>
      </c>
      <c r="H278" s="31">
        <v>200</v>
      </c>
      <c r="I278" s="38">
        <v>203</v>
      </c>
      <c r="J278" s="38">
        <v>177</v>
      </c>
      <c r="K278" s="23">
        <f t="shared" si="8"/>
        <v>915</v>
      </c>
    </row>
    <row r="279" spans="1:11" ht="16.5" thickBot="1">
      <c r="A279" s="18">
        <f t="shared" si="9"/>
        <v>274</v>
      </c>
      <c r="B279" s="37" t="s">
        <v>105</v>
      </c>
      <c r="C279" s="37" t="s">
        <v>786</v>
      </c>
      <c r="D279" s="36" t="s">
        <v>781</v>
      </c>
      <c r="E279" s="38">
        <v>134</v>
      </c>
      <c r="F279" s="38">
        <v>180</v>
      </c>
      <c r="G279" s="38">
        <v>179</v>
      </c>
      <c r="H279" s="31">
        <v>182</v>
      </c>
      <c r="I279" s="38">
        <v>114</v>
      </c>
      <c r="J279" s="38">
        <v>125</v>
      </c>
      <c r="K279" s="23">
        <f t="shared" si="8"/>
        <v>914</v>
      </c>
    </row>
    <row r="280" spans="1:11" ht="16.5" thickBot="1">
      <c r="A280" s="18">
        <f t="shared" si="9"/>
        <v>275</v>
      </c>
      <c r="B280" s="37" t="s">
        <v>92</v>
      </c>
      <c r="C280" s="37" t="s">
        <v>93</v>
      </c>
      <c r="D280" s="36" t="s">
        <v>84</v>
      </c>
      <c r="E280" s="38">
        <v>147</v>
      </c>
      <c r="F280" s="38">
        <v>228</v>
      </c>
      <c r="G280" s="38">
        <v>193</v>
      </c>
      <c r="H280" s="31">
        <v>173</v>
      </c>
      <c r="I280" s="38">
        <v>170</v>
      </c>
      <c r="J280" s="38"/>
      <c r="K280" s="23">
        <f t="shared" si="8"/>
        <v>911</v>
      </c>
    </row>
    <row r="281" spans="1:11" ht="16.5" thickBot="1">
      <c r="A281" s="18">
        <f t="shared" si="9"/>
        <v>276</v>
      </c>
      <c r="B281" s="37" t="s">
        <v>322</v>
      </c>
      <c r="C281" s="37" t="s">
        <v>449</v>
      </c>
      <c r="D281" s="36" t="s">
        <v>438</v>
      </c>
      <c r="E281" s="38"/>
      <c r="F281" s="38">
        <v>199</v>
      </c>
      <c r="G281" s="38">
        <v>172</v>
      </c>
      <c r="H281" s="31">
        <v>166</v>
      </c>
      <c r="I281" s="38">
        <v>198</v>
      </c>
      <c r="J281" s="38">
        <v>176</v>
      </c>
      <c r="K281" s="23">
        <f t="shared" si="8"/>
        <v>911</v>
      </c>
    </row>
    <row r="282" spans="1:11" ht="16.5" thickBot="1">
      <c r="A282" s="18">
        <f t="shared" si="9"/>
        <v>277</v>
      </c>
      <c r="B282" s="37" t="s">
        <v>159</v>
      </c>
      <c r="C282" s="37" t="s">
        <v>846</v>
      </c>
      <c r="D282" s="36" t="s">
        <v>790</v>
      </c>
      <c r="E282" s="38">
        <v>168</v>
      </c>
      <c r="F282" s="38"/>
      <c r="G282" s="38">
        <v>222</v>
      </c>
      <c r="H282" s="31">
        <v>179</v>
      </c>
      <c r="I282" s="38">
        <v>169</v>
      </c>
      <c r="J282" s="38">
        <v>167</v>
      </c>
      <c r="K282" s="23">
        <f t="shared" si="8"/>
        <v>905</v>
      </c>
    </row>
    <row r="283" spans="1:11" ht="16.5" thickBot="1">
      <c r="A283" s="18">
        <f t="shared" si="9"/>
        <v>278</v>
      </c>
      <c r="B283" s="37" t="s">
        <v>734</v>
      </c>
      <c r="C283" s="37" t="s">
        <v>735</v>
      </c>
      <c r="D283" s="36" t="s">
        <v>729</v>
      </c>
      <c r="E283" s="38">
        <v>183</v>
      </c>
      <c r="F283" s="38">
        <v>135</v>
      </c>
      <c r="G283" s="38"/>
      <c r="H283" s="31">
        <v>215</v>
      </c>
      <c r="I283" s="38">
        <v>220</v>
      </c>
      <c r="J283" s="38">
        <v>150</v>
      </c>
      <c r="K283" s="23">
        <f t="shared" si="8"/>
        <v>903</v>
      </c>
    </row>
    <row r="284" spans="1:11" ht="16.5" thickBot="1">
      <c r="A284" s="18">
        <f t="shared" si="9"/>
        <v>279</v>
      </c>
      <c r="B284" s="37" t="s">
        <v>105</v>
      </c>
      <c r="C284" s="37" t="s">
        <v>330</v>
      </c>
      <c r="D284" s="36" t="s">
        <v>318</v>
      </c>
      <c r="E284" s="38">
        <v>177</v>
      </c>
      <c r="F284" s="38">
        <v>128</v>
      </c>
      <c r="G284" s="38">
        <v>183</v>
      </c>
      <c r="H284" s="31">
        <v>140</v>
      </c>
      <c r="I284" s="38">
        <v>129</v>
      </c>
      <c r="J284" s="38">
        <v>144</v>
      </c>
      <c r="K284" s="23">
        <f t="shared" si="8"/>
        <v>901</v>
      </c>
    </row>
    <row r="285" spans="1:11" ht="16.5" thickBot="1">
      <c r="A285" s="18">
        <f t="shared" si="9"/>
        <v>280</v>
      </c>
      <c r="B285" s="37" t="s">
        <v>92</v>
      </c>
      <c r="C285" s="37" t="s">
        <v>524</v>
      </c>
      <c r="D285" s="36" t="s">
        <v>514</v>
      </c>
      <c r="E285" s="38">
        <v>216</v>
      </c>
      <c r="F285" s="38">
        <v>177</v>
      </c>
      <c r="G285" s="38">
        <v>172</v>
      </c>
      <c r="H285" s="31">
        <v>192</v>
      </c>
      <c r="I285" s="38">
        <v>143</v>
      </c>
      <c r="J285" s="38"/>
      <c r="K285" s="23">
        <f t="shared" si="8"/>
        <v>900</v>
      </c>
    </row>
    <row r="286" spans="1:11" ht="16.5" thickBot="1">
      <c r="A286" s="18">
        <f t="shared" si="9"/>
        <v>281</v>
      </c>
      <c r="B286" s="37" t="s">
        <v>45</v>
      </c>
      <c r="C286" s="37" t="s">
        <v>46</v>
      </c>
      <c r="D286" s="36" t="s">
        <v>44</v>
      </c>
      <c r="E286" s="38">
        <v>139</v>
      </c>
      <c r="F286" s="38"/>
      <c r="G286" s="38">
        <v>225</v>
      </c>
      <c r="H286" s="31">
        <v>214</v>
      </c>
      <c r="I286" s="38">
        <v>191</v>
      </c>
      <c r="J286" s="38">
        <v>129</v>
      </c>
      <c r="K286" s="23">
        <f t="shared" si="8"/>
        <v>898</v>
      </c>
    </row>
    <row r="287" spans="1:11" ht="16.5" thickBot="1">
      <c r="A287" s="18">
        <f t="shared" si="9"/>
        <v>282</v>
      </c>
      <c r="B287" s="37" t="s">
        <v>774</v>
      </c>
      <c r="C287" s="37" t="s">
        <v>541</v>
      </c>
      <c r="D287" s="36" t="s">
        <v>772</v>
      </c>
      <c r="E287" s="38">
        <v>194</v>
      </c>
      <c r="F287" s="38">
        <v>196</v>
      </c>
      <c r="G287" s="38">
        <v>163</v>
      </c>
      <c r="H287" s="31">
        <v>179</v>
      </c>
      <c r="I287" s="38"/>
      <c r="J287" s="38">
        <v>166</v>
      </c>
      <c r="K287" s="23">
        <f t="shared" si="8"/>
        <v>898</v>
      </c>
    </row>
    <row r="288" spans="1:11" ht="16.5" thickBot="1">
      <c r="A288" s="18">
        <f t="shared" si="9"/>
        <v>283</v>
      </c>
      <c r="B288" s="37" t="s">
        <v>493</v>
      </c>
      <c r="C288" s="37" t="s">
        <v>849</v>
      </c>
      <c r="D288" s="36" t="s">
        <v>848</v>
      </c>
      <c r="E288" s="38">
        <v>128</v>
      </c>
      <c r="F288" s="38"/>
      <c r="G288" s="38">
        <v>176</v>
      </c>
      <c r="H288" s="31">
        <v>171</v>
      </c>
      <c r="I288" s="38">
        <v>224</v>
      </c>
      <c r="J288" s="38">
        <v>199</v>
      </c>
      <c r="K288" s="23">
        <f t="shared" si="8"/>
        <v>898</v>
      </c>
    </row>
    <row r="289" spans="1:11" ht="16.5" thickBot="1">
      <c r="A289" s="18">
        <f t="shared" si="9"/>
        <v>284</v>
      </c>
      <c r="B289" s="37" t="s">
        <v>424</v>
      </c>
      <c r="C289" s="37" t="s">
        <v>717</v>
      </c>
      <c r="D289" s="36" t="s">
        <v>713</v>
      </c>
      <c r="E289" s="38">
        <v>176</v>
      </c>
      <c r="F289" s="38"/>
      <c r="G289" s="38">
        <v>186</v>
      </c>
      <c r="H289" s="31">
        <v>169</v>
      </c>
      <c r="I289" s="38">
        <v>191</v>
      </c>
      <c r="J289" s="38">
        <v>175</v>
      </c>
      <c r="K289" s="23">
        <f t="shared" si="8"/>
        <v>897</v>
      </c>
    </row>
    <row r="290" spans="1:11" ht="16.5" thickBot="1">
      <c r="A290" s="18">
        <f t="shared" si="9"/>
        <v>285</v>
      </c>
      <c r="B290" s="37" t="s">
        <v>23</v>
      </c>
      <c r="C290" s="37" t="s">
        <v>24</v>
      </c>
      <c r="D290" s="36" t="s">
        <v>13</v>
      </c>
      <c r="E290" s="38">
        <v>181</v>
      </c>
      <c r="F290" s="38">
        <v>130</v>
      </c>
      <c r="G290" s="38"/>
      <c r="H290" s="31">
        <v>200</v>
      </c>
      <c r="I290" s="38">
        <v>180</v>
      </c>
      <c r="J290" s="38">
        <v>203</v>
      </c>
      <c r="K290" s="23">
        <f t="shared" si="8"/>
        <v>894</v>
      </c>
    </row>
    <row r="291" spans="1:11" ht="16.5" thickBot="1">
      <c r="A291" s="18">
        <f t="shared" si="9"/>
        <v>286</v>
      </c>
      <c r="B291" s="37" t="s">
        <v>424</v>
      </c>
      <c r="C291" s="37" t="s">
        <v>691</v>
      </c>
      <c r="D291" s="36" t="s">
        <v>686</v>
      </c>
      <c r="E291" s="38">
        <v>159</v>
      </c>
      <c r="F291" s="38">
        <v>146</v>
      </c>
      <c r="G291" s="38"/>
      <c r="H291" s="31">
        <v>213</v>
      </c>
      <c r="I291" s="38">
        <v>180</v>
      </c>
      <c r="J291" s="38">
        <v>194</v>
      </c>
      <c r="K291" s="23">
        <f t="shared" si="8"/>
        <v>892</v>
      </c>
    </row>
    <row r="292" spans="1:11" ht="16.5" thickBot="1">
      <c r="A292" s="18">
        <f t="shared" si="9"/>
        <v>287</v>
      </c>
      <c r="B292" s="37" t="s">
        <v>36</v>
      </c>
      <c r="C292" s="37" t="s">
        <v>460</v>
      </c>
      <c r="D292" s="36" t="s">
        <v>452</v>
      </c>
      <c r="E292" s="38">
        <v>188</v>
      </c>
      <c r="F292" s="38">
        <v>192</v>
      </c>
      <c r="G292" s="38">
        <v>165</v>
      </c>
      <c r="H292" s="31">
        <v>187</v>
      </c>
      <c r="I292" s="38">
        <v>157</v>
      </c>
      <c r="J292" s="38"/>
      <c r="K292" s="23">
        <f t="shared" si="8"/>
        <v>889</v>
      </c>
    </row>
    <row r="293" spans="1:11" ht="16.5" thickBot="1">
      <c r="A293" s="18">
        <f t="shared" si="9"/>
        <v>288</v>
      </c>
      <c r="B293" s="37" t="s">
        <v>148</v>
      </c>
      <c r="C293" s="37" t="s">
        <v>149</v>
      </c>
      <c r="D293" s="36" t="s">
        <v>143</v>
      </c>
      <c r="E293" s="38">
        <v>154</v>
      </c>
      <c r="F293" s="38">
        <v>174</v>
      </c>
      <c r="G293" s="38">
        <v>220</v>
      </c>
      <c r="H293" s="31">
        <v>192</v>
      </c>
      <c r="I293" s="38">
        <v>146</v>
      </c>
      <c r="J293" s="38"/>
      <c r="K293" s="23">
        <f t="shared" si="8"/>
        <v>886</v>
      </c>
    </row>
    <row r="294" spans="1:11" ht="16.5" thickBot="1">
      <c r="A294" s="18">
        <f t="shared" si="9"/>
        <v>289</v>
      </c>
      <c r="B294" s="37" t="s">
        <v>206</v>
      </c>
      <c r="C294" s="37" t="s">
        <v>838</v>
      </c>
      <c r="D294" s="36" t="s">
        <v>790</v>
      </c>
      <c r="E294" s="38"/>
      <c r="F294" s="38">
        <v>180</v>
      </c>
      <c r="G294" s="38">
        <v>221</v>
      </c>
      <c r="H294" s="31">
        <v>150</v>
      </c>
      <c r="I294" s="38">
        <v>173</v>
      </c>
      <c r="J294" s="38">
        <v>160</v>
      </c>
      <c r="K294" s="23">
        <f t="shared" si="8"/>
        <v>884</v>
      </c>
    </row>
    <row r="295" spans="1:11" ht="16.5" thickBot="1">
      <c r="A295" s="18">
        <f t="shared" si="9"/>
        <v>290</v>
      </c>
      <c r="B295" s="37" t="s">
        <v>592</v>
      </c>
      <c r="C295" s="37" t="s">
        <v>593</v>
      </c>
      <c r="D295" s="36" t="s">
        <v>584</v>
      </c>
      <c r="E295" s="38">
        <v>191</v>
      </c>
      <c r="F295" s="38">
        <v>160</v>
      </c>
      <c r="G295" s="38"/>
      <c r="H295" s="31">
        <v>193</v>
      </c>
      <c r="I295" s="38">
        <v>181</v>
      </c>
      <c r="J295" s="38">
        <v>158</v>
      </c>
      <c r="K295" s="23">
        <f t="shared" si="8"/>
        <v>883</v>
      </c>
    </row>
    <row r="296" spans="1:11" ht="16.5" thickBot="1">
      <c r="A296" s="18">
        <f t="shared" si="9"/>
        <v>291</v>
      </c>
      <c r="B296" s="37" t="s">
        <v>89</v>
      </c>
      <c r="C296" s="37" t="s">
        <v>587</v>
      </c>
      <c r="D296" s="36" t="s">
        <v>584</v>
      </c>
      <c r="E296" s="38">
        <v>185</v>
      </c>
      <c r="F296" s="38">
        <v>191</v>
      </c>
      <c r="G296" s="38">
        <v>193</v>
      </c>
      <c r="H296" s="31">
        <v>189</v>
      </c>
      <c r="I296" s="38">
        <v>124</v>
      </c>
      <c r="J296" s="38"/>
      <c r="K296" s="23">
        <f t="shared" si="8"/>
        <v>882</v>
      </c>
    </row>
    <row r="297" spans="1:11" ht="16.5" thickBot="1">
      <c r="A297" s="18">
        <f t="shared" si="9"/>
        <v>292</v>
      </c>
      <c r="B297" s="37" t="s">
        <v>326</v>
      </c>
      <c r="C297" s="37" t="s">
        <v>426</v>
      </c>
      <c r="D297" s="36" t="s">
        <v>425</v>
      </c>
      <c r="E297" s="38">
        <v>182</v>
      </c>
      <c r="F297" s="38">
        <v>206</v>
      </c>
      <c r="G297" s="38">
        <v>179</v>
      </c>
      <c r="H297" s="31">
        <v>167</v>
      </c>
      <c r="I297" s="38">
        <v>144</v>
      </c>
      <c r="J297" s="38"/>
      <c r="K297" s="23">
        <f t="shared" si="8"/>
        <v>878</v>
      </c>
    </row>
    <row r="298" spans="1:11" ht="16.5" thickBot="1">
      <c r="A298" s="18">
        <f t="shared" si="9"/>
        <v>293</v>
      </c>
      <c r="B298" s="37" t="s">
        <v>51</v>
      </c>
      <c r="C298" s="37" t="s">
        <v>52</v>
      </c>
      <c r="D298" s="36" t="s">
        <v>44</v>
      </c>
      <c r="E298" s="38"/>
      <c r="F298" s="38">
        <v>145</v>
      </c>
      <c r="G298" s="38">
        <v>184</v>
      </c>
      <c r="H298" s="31">
        <v>233</v>
      </c>
      <c r="I298" s="38">
        <v>164</v>
      </c>
      <c r="J298" s="38">
        <v>141</v>
      </c>
      <c r="K298" s="23">
        <f t="shared" si="8"/>
        <v>867</v>
      </c>
    </row>
    <row r="299" spans="1:11" ht="16.5" thickBot="1">
      <c r="A299" s="18">
        <f t="shared" si="9"/>
        <v>294</v>
      </c>
      <c r="B299" s="37" t="s">
        <v>450</v>
      </c>
      <c r="C299" s="37" t="s">
        <v>451</v>
      </c>
      <c r="D299" s="36" t="s">
        <v>438</v>
      </c>
      <c r="E299" s="38"/>
      <c r="F299" s="38">
        <v>174</v>
      </c>
      <c r="G299" s="38">
        <v>194</v>
      </c>
      <c r="H299" s="31">
        <v>179</v>
      </c>
      <c r="I299" s="38">
        <v>176</v>
      </c>
      <c r="J299" s="38">
        <v>144</v>
      </c>
      <c r="K299" s="23">
        <f t="shared" si="8"/>
        <v>867</v>
      </c>
    </row>
    <row r="300" spans="1:11" ht="16.5" thickBot="1">
      <c r="A300" s="18">
        <f t="shared" si="9"/>
        <v>295</v>
      </c>
      <c r="B300" s="37" t="s">
        <v>392</v>
      </c>
      <c r="C300" s="37" t="s">
        <v>393</v>
      </c>
      <c r="D300" s="36" t="s">
        <v>387</v>
      </c>
      <c r="E300" s="38">
        <v>143</v>
      </c>
      <c r="F300" s="38">
        <v>143</v>
      </c>
      <c r="G300" s="38">
        <v>157</v>
      </c>
      <c r="H300" s="31">
        <v>138</v>
      </c>
      <c r="I300" s="38">
        <v>128</v>
      </c>
      <c r="J300" s="38">
        <v>147</v>
      </c>
      <c r="K300" s="23">
        <f t="shared" si="8"/>
        <v>856</v>
      </c>
    </row>
    <row r="301" spans="1:11" ht="16.5" thickBot="1">
      <c r="A301" s="18">
        <f t="shared" si="9"/>
        <v>296</v>
      </c>
      <c r="B301" s="37" t="s">
        <v>16</v>
      </c>
      <c r="C301" s="37" t="s">
        <v>487</v>
      </c>
      <c r="D301" s="36" t="s">
        <v>479</v>
      </c>
      <c r="E301" s="38"/>
      <c r="F301" s="38"/>
      <c r="G301" s="38">
        <v>211</v>
      </c>
      <c r="H301" s="31">
        <v>244</v>
      </c>
      <c r="I301" s="38">
        <v>236</v>
      </c>
      <c r="J301" s="38">
        <v>165</v>
      </c>
      <c r="K301" s="23">
        <f t="shared" si="8"/>
        <v>856</v>
      </c>
    </row>
    <row r="302" spans="1:11" ht="16.5" thickBot="1">
      <c r="A302" s="18">
        <f t="shared" si="9"/>
        <v>297</v>
      </c>
      <c r="B302" s="37" t="s">
        <v>170</v>
      </c>
      <c r="C302" s="37" t="s">
        <v>171</v>
      </c>
      <c r="D302" s="36" t="s">
        <v>167</v>
      </c>
      <c r="E302" s="38"/>
      <c r="F302" s="38">
        <v>163</v>
      </c>
      <c r="G302" s="38">
        <v>167</v>
      </c>
      <c r="H302" s="31">
        <v>169</v>
      </c>
      <c r="I302" s="38">
        <v>180</v>
      </c>
      <c r="J302" s="38">
        <v>175</v>
      </c>
      <c r="K302" s="23">
        <f t="shared" si="8"/>
        <v>854</v>
      </c>
    </row>
    <row r="303" spans="1:11" ht="16.5" thickBot="1">
      <c r="A303" s="18">
        <f t="shared" si="9"/>
        <v>298</v>
      </c>
      <c r="B303" s="37" t="s">
        <v>30</v>
      </c>
      <c r="C303" s="37" t="s">
        <v>415</v>
      </c>
      <c r="D303" s="36" t="s">
        <v>413</v>
      </c>
      <c r="E303" s="38"/>
      <c r="F303" s="38"/>
      <c r="G303" s="38">
        <v>193</v>
      </c>
      <c r="H303" s="31">
        <v>243</v>
      </c>
      <c r="I303" s="38">
        <v>191</v>
      </c>
      <c r="J303" s="38">
        <v>219</v>
      </c>
      <c r="K303" s="23">
        <f t="shared" si="8"/>
        <v>846</v>
      </c>
    </row>
    <row r="304" spans="1:11" ht="16.5" thickBot="1">
      <c r="A304" s="18">
        <f t="shared" si="9"/>
        <v>299</v>
      </c>
      <c r="B304" s="37" t="s">
        <v>441</v>
      </c>
      <c r="C304" s="37" t="s">
        <v>442</v>
      </c>
      <c r="D304" s="36" t="s">
        <v>438</v>
      </c>
      <c r="E304" s="38">
        <v>138</v>
      </c>
      <c r="F304" s="38"/>
      <c r="G304" s="38">
        <v>157</v>
      </c>
      <c r="H304" s="31">
        <v>155</v>
      </c>
      <c r="I304" s="38">
        <v>205</v>
      </c>
      <c r="J304" s="38">
        <v>191</v>
      </c>
      <c r="K304" s="23">
        <f t="shared" si="8"/>
        <v>846</v>
      </c>
    </row>
    <row r="305" spans="1:11" ht="16.5" thickBot="1">
      <c r="A305" s="18">
        <f t="shared" si="9"/>
        <v>300</v>
      </c>
      <c r="B305" s="37" t="s">
        <v>406</v>
      </c>
      <c r="C305" s="37" t="s">
        <v>480</v>
      </c>
      <c r="D305" s="36" t="s">
        <v>479</v>
      </c>
      <c r="E305" s="38">
        <v>179</v>
      </c>
      <c r="F305" s="38">
        <v>144</v>
      </c>
      <c r="G305" s="38">
        <v>170</v>
      </c>
      <c r="H305" s="31">
        <v>197</v>
      </c>
      <c r="I305" s="38">
        <v>153</v>
      </c>
      <c r="J305" s="38"/>
      <c r="K305" s="23">
        <f t="shared" si="8"/>
        <v>843</v>
      </c>
    </row>
    <row r="306" spans="1:11" ht="16.5" thickBot="1">
      <c r="A306" s="18">
        <f t="shared" si="9"/>
        <v>301</v>
      </c>
      <c r="B306" s="37" t="s">
        <v>403</v>
      </c>
      <c r="C306" s="37" t="s">
        <v>404</v>
      </c>
      <c r="D306" s="36" t="s">
        <v>402</v>
      </c>
      <c r="E306" s="38">
        <v>153</v>
      </c>
      <c r="F306" s="38">
        <v>133</v>
      </c>
      <c r="G306" s="38">
        <v>131</v>
      </c>
      <c r="H306" s="31">
        <v>157</v>
      </c>
      <c r="I306" s="38">
        <v>146</v>
      </c>
      <c r="J306" s="38">
        <v>122</v>
      </c>
      <c r="K306" s="23">
        <f t="shared" si="8"/>
        <v>842</v>
      </c>
    </row>
    <row r="307" spans="1:11" ht="16.5" thickBot="1">
      <c r="A307" s="18">
        <f t="shared" si="9"/>
        <v>302</v>
      </c>
      <c r="B307" s="37" t="s">
        <v>250</v>
      </c>
      <c r="C307" s="37" t="s">
        <v>405</v>
      </c>
      <c r="D307" s="36" t="s">
        <v>402</v>
      </c>
      <c r="E307" s="38">
        <v>153</v>
      </c>
      <c r="F307" s="38">
        <v>143</v>
      </c>
      <c r="G307" s="38">
        <v>120</v>
      </c>
      <c r="H307" s="31">
        <v>139</v>
      </c>
      <c r="I307" s="38">
        <v>145</v>
      </c>
      <c r="J307" s="38">
        <v>142</v>
      </c>
      <c r="K307" s="23">
        <f t="shared" si="8"/>
        <v>842</v>
      </c>
    </row>
    <row r="308" spans="1:11" ht="16.5" thickBot="1">
      <c r="A308" s="18">
        <f t="shared" si="9"/>
        <v>303</v>
      </c>
      <c r="B308" s="37" t="s">
        <v>92</v>
      </c>
      <c r="C308" s="37" t="s">
        <v>544</v>
      </c>
      <c r="D308" s="36" t="s">
        <v>536</v>
      </c>
      <c r="E308" s="38">
        <v>189</v>
      </c>
      <c r="F308" s="38">
        <v>174</v>
      </c>
      <c r="G308" s="38">
        <v>198</v>
      </c>
      <c r="H308" s="31">
        <v>129</v>
      </c>
      <c r="I308" s="38">
        <v>150</v>
      </c>
      <c r="J308" s="38"/>
      <c r="K308" s="23">
        <f t="shared" si="8"/>
        <v>840</v>
      </c>
    </row>
    <row r="309" spans="1:11" ht="16.5" thickBot="1">
      <c r="A309" s="18">
        <f t="shared" si="9"/>
        <v>304</v>
      </c>
      <c r="B309" s="37" t="s">
        <v>361</v>
      </c>
      <c r="C309" s="37" t="s">
        <v>48</v>
      </c>
      <c r="D309" s="36" t="s">
        <v>353</v>
      </c>
      <c r="E309" s="38">
        <v>175</v>
      </c>
      <c r="F309" s="38">
        <v>165</v>
      </c>
      <c r="G309" s="38">
        <v>181</v>
      </c>
      <c r="H309" s="31">
        <v>146</v>
      </c>
      <c r="I309" s="38"/>
      <c r="J309" s="38">
        <v>168</v>
      </c>
      <c r="K309" s="23">
        <f t="shared" si="8"/>
        <v>835</v>
      </c>
    </row>
    <row r="310" spans="1:11" ht="16.5" thickBot="1">
      <c r="A310" s="18">
        <f t="shared" si="9"/>
        <v>305</v>
      </c>
      <c r="B310" s="37" t="s">
        <v>368</v>
      </c>
      <c r="C310" s="37" t="s">
        <v>369</v>
      </c>
      <c r="D310" s="36" t="s">
        <v>363</v>
      </c>
      <c r="E310" s="38">
        <v>145</v>
      </c>
      <c r="F310" s="38"/>
      <c r="G310" s="38">
        <v>153</v>
      </c>
      <c r="H310" s="31">
        <v>187</v>
      </c>
      <c r="I310" s="38">
        <v>158</v>
      </c>
      <c r="J310" s="38">
        <v>188</v>
      </c>
      <c r="K310" s="23">
        <f t="shared" si="8"/>
        <v>831</v>
      </c>
    </row>
    <row r="311" spans="1:11" ht="16.5" thickBot="1">
      <c r="A311" s="18">
        <f t="shared" si="9"/>
        <v>306</v>
      </c>
      <c r="B311" s="37" t="s">
        <v>667</v>
      </c>
      <c r="C311" s="37" t="s">
        <v>668</v>
      </c>
      <c r="D311" s="36" t="s">
        <v>665</v>
      </c>
      <c r="E311" s="38">
        <v>123</v>
      </c>
      <c r="F311" s="38"/>
      <c r="G311" s="38">
        <v>171</v>
      </c>
      <c r="H311" s="31">
        <v>158</v>
      </c>
      <c r="I311" s="38">
        <v>180</v>
      </c>
      <c r="J311" s="38">
        <v>199</v>
      </c>
      <c r="K311" s="23">
        <f t="shared" si="8"/>
        <v>831</v>
      </c>
    </row>
    <row r="312" spans="1:11" ht="16.5" thickBot="1">
      <c r="A312" s="18">
        <f t="shared" si="9"/>
        <v>307</v>
      </c>
      <c r="B312" s="37" t="s">
        <v>99</v>
      </c>
      <c r="C312" s="37" t="s">
        <v>876</v>
      </c>
      <c r="D312" s="36" t="s">
        <v>875</v>
      </c>
      <c r="E312" s="38">
        <v>185</v>
      </c>
      <c r="F312" s="38">
        <v>150</v>
      </c>
      <c r="G312" s="38">
        <v>187</v>
      </c>
      <c r="H312" s="31">
        <v>138</v>
      </c>
      <c r="I312" s="38"/>
      <c r="J312" s="38">
        <v>165</v>
      </c>
      <c r="K312" s="23">
        <f t="shared" si="8"/>
        <v>825</v>
      </c>
    </row>
    <row r="313" spans="1:11" ht="16.5" thickBot="1">
      <c r="A313" s="18">
        <f t="shared" si="9"/>
        <v>308</v>
      </c>
      <c r="B313" s="37" t="s">
        <v>357</v>
      </c>
      <c r="C313" s="37" t="s">
        <v>238</v>
      </c>
      <c r="D313" s="36" t="s">
        <v>353</v>
      </c>
      <c r="E313" s="38">
        <v>151</v>
      </c>
      <c r="F313" s="38">
        <v>137</v>
      </c>
      <c r="G313" s="38">
        <v>189</v>
      </c>
      <c r="H313" s="31">
        <v>133</v>
      </c>
      <c r="I313" s="38"/>
      <c r="J313" s="38">
        <v>213</v>
      </c>
      <c r="K313" s="23">
        <f t="shared" si="8"/>
        <v>823</v>
      </c>
    </row>
    <row r="314" spans="1:11" ht="16.5" thickBot="1">
      <c r="A314" s="18">
        <f t="shared" si="9"/>
        <v>309</v>
      </c>
      <c r="B314" s="37" t="s">
        <v>658</v>
      </c>
      <c r="C314" s="37" t="s">
        <v>659</v>
      </c>
      <c r="D314" s="36" t="s">
        <v>654</v>
      </c>
      <c r="E314" s="38"/>
      <c r="F314" s="38"/>
      <c r="G314" s="38">
        <v>172</v>
      </c>
      <c r="H314" s="31">
        <v>221</v>
      </c>
      <c r="I314" s="38">
        <v>205</v>
      </c>
      <c r="J314" s="38">
        <v>224</v>
      </c>
      <c r="K314" s="23">
        <f t="shared" si="8"/>
        <v>822</v>
      </c>
    </row>
    <row r="315" spans="1:11" ht="16.5" thickBot="1">
      <c r="A315" s="18">
        <f t="shared" si="9"/>
        <v>310</v>
      </c>
      <c r="B315" s="37" t="s">
        <v>467</v>
      </c>
      <c r="C315" s="37" t="s">
        <v>730</v>
      </c>
      <c r="D315" s="36" t="s">
        <v>729</v>
      </c>
      <c r="E315" s="38">
        <v>209</v>
      </c>
      <c r="F315" s="38">
        <v>260</v>
      </c>
      <c r="G315" s="38">
        <v>190</v>
      </c>
      <c r="H315" s="31">
        <v>156</v>
      </c>
      <c r="I315" s="38"/>
      <c r="J315" s="38"/>
      <c r="K315" s="23">
        <f t="shared" si="8"/>
        <v>815</v>
      </c>
    </row>
    <row r="316" spans="1:11" ht="16.5" thickBot="1">
      <c r="A316" s="18">
        <f t="shared" si="9"/>
        <v>311</v>
      </c>
      <c r="B316" s="37" t="s">
        <v>669</v>
      </c>
      <c r="C316" s="37" t="s">
        <v>670</v>
      </c>
      <c r="D316" s="36" t="s">
        <v>665</v>
      </c>
      <c r="E316" s="38">
        <v>159</v>
      </c>
      <c r="F316" s="38">
        <v>156</v>
      </c>
      <c r="G316" s="38">
        <v>141</v>
      </c>
      <c r="H316" s="31"/>
      <c r="I316" s="38">
        <v>176</v>
      </c>
      <c r="J316" s="38">
        <v>180</v>
      </c>
      <c r="K316" s="23">
        <f t="shared" si="8"/>
        <v>812</v>
      </c>
    </row>
    <row r="317" spans="1:11" ht="16.5" thickBot="1">
      <c r="A317" s="18">
        <f t="shared" si="9"/>
        <v>312</v>
      </c>
      <c r="B317" s="37" t="s">
        <v>615</v>
      </c>
      <c r="C317" s="37" t="s">
        <v>58</v>
      </c>
      <c r="D317" s="36" t="s">
        <v>713</v>
      </c>
      <c r="E317" s="38"/>
      <c r="F317" s="38"/>
      <c r="G317" s="38">
        <v>214</v>
      </c>
      <c r="H317" s="31">
        <v>208</v>
      </c>
      <c r="I317" s="38">
        <v>181</v>
      </c>
      <c r="J317" s="38">
        <v>209</v>
      </c>
      <c r="K317" s="23">
        <f t="shared" si="8"/>
        <v>812</v>
      </c>
    </row>
    <row r="318" spans="1:11" ht="16.5" thickBot="1">
      <c r="A318" s="18">
        <f t="shared" si="9"/>
        <v>313</v>
      </c>
      <c r="B318" s="37" t="s">
        <v>59</v>
      </c>
      <c r="C318" s="37" t="s">
        <v>230</v>
      </c>
      <c r="D318" s="36" t="s">
        <v>220</v>
      </c>
      <c r="E318" s="38">
        <v>145</v>
      </c>
      <c r="F318" s="38">
        <v>164</v>
      </c>
      <c r="G318" s="38"/>
      <c r="H318" s="31"/>
      <c r="I318" s="38">
        <v>256</v>
      </c>
      <c r="J318" s="38">
        <v>243</v>
      </c>
      <c r="K318" s="23">
        <f t="shared" si="8"/>
        <v>808</v>
      </c>
    </row>
    <row r="319" spans="1:11" ht="16.5" thickBot="1">
      <c r="A319" s="18">
        <f t="shared" si="9"/>
        <v>314</v>
      </c>
      <c r="B319" s="37" t="s">
        <v>134</v>
      </c>
      <c r="C319" s="37" t="s">
        <v>135</v>
      </c>
      <c r="D319" s="36" t="s">
        <v>127</v>
      </c>
      <c r="E319" s="38">
        <v>123</v>
      </c>
      <c r="F319" s="38"/>
      <c r="G319" s="38">
        <v>194</v>
      </c>
      <c r="H319" s="31">
        <v>144</v>
      </c>
      <c r="I319" s="38">
        <v>170</v>
      </c>
      <c r="J319" s="38">
        <v>171</v>
      </c>
      <c r="K319" s="23">
        <f t="shared" si="8"/>
        <v>802</v>
      </c>
    </row>
    <row r="320" spans="1:11" ht="16.5" thickBot="1">
      <c r="A320" s="18">
        <f t="shared" si="9"/>
        <v>315</v>
      </c>
      <c r="B320" s="37" t="s">
        <v>99</v>
      </c>
      <c r="C320" s="37" t="s">
        <v>731</v>
      </c>
      <c r="D320" s="36" t="s">
        <v>729</v>
      </c>
      <c r="E320" s="38">
        <v>232</v>
      </c>
      <c r="F320" s="38">
        <v>206</v>
      </c>
      <c r="G320" s="38">
        <v>171</v>
      </c>
      <c r="H320" s="31"/>
      <c r="I320" s="38"/>
      <c r="J320" s="38">
        <v>190</v>
      </c>
      <c r="K320" s="23">
        <f t="shared" si="8"/>
        <v>799</v>
      </c>
    </row>
    <row r="321" spans="1:11" ht="16.5" thickBot="1">
      <c r="A321" s="18">
        <f t="shared" si="9"/>
        <v>316</v>
      </c>
      <c r="B321" s="37" t="s">
        <v>266</v>
      </c>
      <c r="C321" s="37" t="s">
        <v>572</v>
      </c>
      <c r="D321" s="36" t="s">
        <v>565</v>
      </c>
      <c r="E321" s="38">
        <v>178</v>
      </c>
      <c r="F321" s="38">
        <v>178</v>
      </c>
      <c r="G321" s="38">
        <v>160</v>
      </c>
      <c r="H321" s="31">
        <v>156</v>
      </c>
      <c r="I321" s="38">
        <v>123</v>
      </c>
      <c r="J321" s="38"/>
      <c r="K321" s="23">
        <f t="shared" si="8"/>
        <v>795</v>
      </c>
    </row>
    <row r="322" spans="1:11" ht="16.5" thickBot="1">
      <c r="A322" s="18">
        <f t="shared" si="9"/>
        <v>317</v>
      </c>
      <c r="B322" s="37" t="s">
        <v>313</v>
      </c>
      <c r="C322" s="37" t="s">
        <v>346</v>
      </c>
      <c r="D322" s="36" t="s">
        <v>342</v>
      </c>
      <c r="E322" s="38">
        <v>141</v>
      </c>
      <c r="F322" s="38"/>
      <c r="G322" s="38"/>
      <c r="H322" s="31">
        <v>217</v>
      </c>
      <c r="I322" s="38">
        <v>244</v>
      </c>
      <c r="J322" s="38">
        <v>183</v>
      </c>
      <c r="K322" s="23">
        <f t="shared" si="8"/>
        <v>785</v>
      </c>
    </row>
    <row r="323" spans="1:11" ht="16.5" thickBot="1">
      <c r="A323" s="18">
        <f t="shared" si="9"/>
        <v>318</v>
      </c>
      <c r="B323" s="37" t="s">
        <v>59</v>
      </c>
      <c r="C323" s="37" t="s">
        <v>446</v>
      </c>
      <c r="D323" s="36" t="s">
        <v>799</v>
      </c>
      <c r="E323" s="38">
        <v>220</v>
      </c>
      <c r="F323" s="38">
        <v>168</v>
      </c>
      <c r="G323" s="38">
        <v>142</v>
      </c>
      <c r="H323" s="31"/>
      <c r="I323" s="38"/>
      <c r="J323" s="38">
        <v>255</v>
      </c>
      <c r="K323" s="23">
        <f t="shared" si="8"/>
        <v>785</v>
      </c>
    </row>
    <row r="324" spans="1:11" ht="16.5" thickBot="1">
      <c r="A324" s="18">
        <f t="shared" si="9"/>
        <v>319</v>
      </c>
      <c r="B324" s="37" t="s">
        <v>226</v>
      </c>
      <c r="C324" s="37" t="s">
        <v>227</v>
      </c>
      <c r="D324" s="36" t="s">
        <v>220</v>
      </c>
      <c r="E324" s="38"/>
      <c r="F324" s="38"/>
      <c r="G324" s="38">
        <v>179</v>
      </c>
      <c r="H324" s="31">
        <v>169</v>
      </c>
      <c r="I324" s="38">
        <v>246</v>
      </c>
      <c r="J324" s="38">
        <v>189</v>
      </c>
      <c r="K324" s="23">
        <f t="shared" si="8"/>
        <v>783</v>
      </c>
    </row>
    <row r="325" spans="1:11" ht="16.5" thickBot="1">
      <c r="A325" s="18">
        <f t="shared" si="9"/>
        <v>320</v>
      </c>
      <c r="B325" s="37" t="s">
        <v>105</v>
      </c>
      <c r="C325" s="37" t="s">
        <v>107</v>
      </c>
      <c r="D325" s="36" t="s">
        <v>98</v>
      </c>
      <c r="E325" s="38">
        <v>133</v>
      </c>
      <c r="F325" s="38">
        <v>158</v>
      </c>
      <c r="G325" s="38">
        <v>182</v>
      </c>
      <c r="H325" s="31">
        <v>187</v>
      </c>
      <c r="I325" s="38">
        <v>118</v>
      </c>
      <c r="J325" s="38"/>
      <c r="K325" s="23">
        <f t="shared" si="8"/>
        <v>778</v>
      </c>
    </row>
    <row r="326" spans="1:11" ht="16.5" thickBot="1">
      <c r="A326" s="18">
        <f t="shared" si="9"/>
        <v>321</v>
      </c>
      <c r="B326" s="37" t="s">
        <v>853</v>
      </c>
      <c r="C326" s="37" t="s">
        <v>854</v>
      </c>
      <c r="D326" s="36" t="s">
        <v>848</v>
      </c>
      <c r="E326" s="38">
        <v>187</v>
      </c>
      <c r="F326" s="38">
        <v>144</v>
      </c>
      <c r="G326" s="38"/>
      <c r="H326" s="31"/>
      <c r="I326" s="38">
        <v>234</v>
      </c>
      <c r="J326" s="38">
        <v>208</v>
      </c>
      <c r="K326" s="23">
        <f t="shared" ref="K326:K389" si="10">SUM(E326:J326)</f>
        <v>773</v>
      </c>
    </row>
    <row r="327" spans="1:11" ht="16.5" thickBot="1">
      <c r="A327" s="18">
        <f t="shared" si="9"/>
        <v>322</v>
      </c>
      <c r="B327" s="37" t="s">
        <v>250</v>
      </c>
      <c r="C327" s="37" t="s">
        <v>830</v>
      </c>
      <c r="D327" s="36" t="s">
        <v>827</v>
      </c>
      <c r="E327" s="38">
        <v>160</v>
      </c>
      <c r="F327" s="38">
        <v>199</v>
      </c>
      <c r="G327" s="38">
        <v>168</v>
      </c>
      <c r="H327" s="31"/>
      <c r="I327" s="38"/>
      <c r="J327" s="38">
        <v>245</v>
      </c>
      <c r="K327" s="23">
        <f t="shared" si="10"/>
        <v>772</v>
      </c>
    </row>
    <row r="328" spans="1:11" ht="16.5" thickBot="1">
      <c r="A328" s="18">
        <f t="shared" ref="A328:A391" si="11">A327+1</f>
        <v>323</v>
      </c>
      <c r="B328" s="37" t="s">
        <v>86</v>
      </c>
      <c r="C328" s="37" t="s">
        <v>87</v>
      </c>
      <c r="D328" s="36" t="s">
        <v>84</v>
      </c>
      <c r="E328" s="38"/>
      <c r="F328" s="38"/>
      <c r="G328" s="38">
        <v>161</v>
      </c>
      <c r="H328" s="31">
        <v>234</v>
      </c>
      <c r="I328" s="38">
        <v>170</v>
      </c>
      <c r="J328" s="38">
        <v>206</v>
      </c>
      <c r="K328" s="23">
        <f t="shared" si="10"/>
        <v>771</v>
      </c>
    </row>
    <row r="329" spans="1:11" ht="16.5" thickBot="1">
      <c r="A329" s="18">
        <f t="shared" si="11"/>
        <v>324</v>
      </c>
      <c r="B329" s="37" t="s">
        <v>326</v>
      </c>
      <c r="C329" s="37" t="s">
        <v>696</v>
      </c>
      <c r="D329" s="36" t="s">
        <v>695</v>
      </c>
      <c r="E329" s="38">
        <v>171</v>
      </c>
      <c r="F329" s="38">
        <v>160</v>
      </c>
      <c r="G329" s="38">
        <v>124</v>
      </c>
      <c r="H329" s="31">
        <v>170</v>
      </c>
      <c r="I329" s="38"/>
      <c r="J329" s="38">
        <v>144</v>
      </c>
      <c r="K329" s="23">
        <f t="shared" si="10"/>
        <v>769</v>
      </c>
    </row>
    <row r="330" spans="1:11" ht="16.5" thickBot="1">
      <c r="A330" s="18">
        <f t="shared" si="11"/>
        <v>325</v>
      </c>
      <c r="B330" s="37" t="s">
        <v>89</v>
      </c>
      <c r="C330" s="37" t="s">
        <v>738</v>
      </c>
      <c r="D330" s="36" t="s">
        <v>729</v>
      </c>
      <c r="E330" s="38">
        <v>167</v>
      </c>
      <c r="F330" s="38"/>
      <c r="G330" s="38"/>
      <c r="H330" s="31">
        <v>175</v>
      </c>
      <c r="I330" s="38">
        <v>215</v>
      </c>
      <c r="J330" s="38">
        <v>205</v>
      </c>
      <c r="K330" s="23">
        <f t="shared" si="10"/>
        <v>762</v>
      </c>
    </row>
    <row r="331" spans="1:11" ht="16.5" thickBot="1">
      <c r="A331" s="18">
        <f t="shared" si="11"/>
        <v>326</v>
      </c>
      <c r="B331" s="37" t="s">
        <v>124</v>
      </c>
      <c r="C331" s="37" t="s">
        <v>872</v>
      </c>
      <c r="D331" s="36" t="s">
        <v>865</v>
      </c>
      <c r="E331" s="38"/>
      <c r="F331" s="38">
        <v>139</v>
      </c>
      <c r="G331" s="38">
        <v>152</v>
      </c>
      <c r="H331" s="31">
        <v>135</v>
      </c>
      <c r="I331" s="38">
        <v>167</v>
      </c>
      <c r="J331" s="38">
        <v>165</v>
      </c>
      <c r="K331" s="23">
        <f t="shared" si="10"/>
        <v>758</v>
      </c>
    </row>
    <row r="332" spans="1:11" ht="16.5" thickBot="1">
      <c r="A332" s="18">
        <f t="shared" si="11"/>
        <v>327</v>
      </c>
      <c r="B332" s="37" t="s">
        <v>662</v>
      </c>
      <c r="C332" s="37" t="s">
        <v>348</v>
      </c>
      <c r="D332" s="36" t="s">
        <v>654</v>
      </c>
      <c r="E332" s="38">
        <v>205</v>
      </c>
      <c r="F332" s="38">
        <v>136</v>
      </c>
      <c r="G332" s="38"/>
      <c r="H332" s="31"/>
      <c r="I332" s="38">
        <v>209</v>
      </c>
      <c r="J332" s="38">
        <v>203</v>
      </c>
      <c r="K332" s="23">
        <f t="shared" si="10"/>
        <v>753</v>
      </c>
    </row>
    <row r="333" spans="1:11" ht="16.5" thickBot="1">
      <c r="A333" s="18">
        <f t="shared" si="11"/>
        <v>328</v>
      </c>
      <c r="B333" s="37" t="s">
        <v>512</v>
      </c>
      <c r="C333" s="37" t="s">
        <v>513</v>
      </c>
      <c r="D333" s="36" t="s">
        <v>501</v>
      </c>
      <c r="E333" s="38">
        <v>184</v>
      </c>
      <c r="F333" s="38">
        <v>205</v>
      </c>
      <c r="G333" s="38">
        <v>170</v>
      </c>
      <c r="H333" s="31"/>
      <c r="I333" s="38">
        <v>183</v>
      </c>
      <c r="J333" s="38"/>
      <c r="K333" s="23">
        <f t="shared" si="10"/>
        <v>742</v>
      </c>
    </row>
    <row r="334" spans="1:11" ht="16.5" thickBot="1">
      <c r="A334" s="18">
        <f t="shared" si="11"/>
        <v>329</v>
      </c>
      <c r="B334" s="37" t="s">
        <v>122</v>
      </c>
      <c r="C334" s="37" t="s">
        <v>123</v>
      </c>
      <c r="D334" s="36" t="s">
        <v>113</v>
      </c>
      <c r="E334" s="38"/>
      <c r="F334" s="38"/>
      <c r="G334" s="38">
        <v>180</v>
      </c>
      <c r="H334" s="31">
        <v>177</v>
      </c>
      <c r="I334" s="38">
        <v>174</v>
      </c>
      <c r="J334" s="38">
        <v>210</v>
      </c>
      <c r="K334" s="23">
        <f t="shared" si="10"/>
        <v>741</v>
      </c>
    </row>
    <row r="335" spans="1:11" ht="16.5" thickBot="1">
      <c r="A335" s="18">
        <f t="shared" si="11"/>
        <v>330</v>
      </c>
      <c r="B335" s="37" t="s">
        <v>89</v>
      </c>
      <c r="C335" s="37" t="s">
        <v>216</v>
      </c>
      <c r="D335" s="36" t="s">
        <v>205</v>
      </c>
      <c r="E335" s="38">
        <v>129</v>
      </c>
      <c r="F335" s="38"/>
      <c r="G335" s="38"/>
      <c r="H335" s="31">
        <v>205</v>
      </c>
      <c r="I335" s="38">
        <v>224</v>
      </c>
      <c r="J335" s="38">
        <v>181</v>
      </c>
      <c r="K335" s="23">
        <f t="shared" si="10"/>
        <v>739</v>
      </c>
    </row>
    <row r="336" spans="1:11" ht="16.5" thickBot="1">
      <c r="A336" s="18">
        <f t="shared" si="11"/>
        <v>331</v>
      </c>
      <c r="B336" s="37" t="s">
        <v>595</v>
      </c>
      <c r="C336" s="37" t="s">
        <v>596</v>
      </c>
      <c r="D336" s="36" t="s">
        <v>594</v>
      </c>
      <c r="E336" s="38"/>
      <c r="F336" s="38"/>
      <c r="G336" s="38">
        <v>194</v>
      </c>
      <c r="H336" s="31">
        <v>177</v>
      </c>
      <c r="I336" s="38">
        <v>157</v>
      </c>
      <c r="J336" s="38">
        <v>211</v>
      </c>
      <c r="K336" s="23">
        <f t="shared" si="10"/>
        <v>739</v>
      </c>
    </row>
    <row r="337" spans="1:11" ht="16.5" thickBot="1">
      <c r="A337" s="18">
        <f t="shared" si="11"/>
        <v>332</v>
      </c>
      <c r="B337" s="37" t="s">
        <v>569</v>
      </c>
      <c r="C337" s="37" t="s">
        <v>732</v>
      </c>
      <c r="D337" s="36" t="s">
        <v>729</v>
      </c>
      <c r="E337" s="38"/>
      <c r="F337" s="38">
        <v>190</v>
      </c>
      <c r="G337" s="38">
        <v>174</v>
      </c>
      <c r="H337" s="31"/>
      <c r="I337" s="38">
        <v>183</v>
      </c>
      <c r="J337" s="38">
        <v>190</v>
      </c>
      <c r="K337" s="23">
        <f t="shared" si="10"/>
        <v>737</v>
      </c>
    </row>
    <row r="338" spans="1:11" ht="16.5" thickBot="1">
      <c r="A338" s="18">
        <f t="shared" si="11"/>
        <v>333</v>
      </c>
      <c r="B338" s="37" t="s">
        <v>473</v>
      </c>
      <c r="C338" s="37" t="s">
        <v>474</v>
      </c>
      <c r="D338" s="36" t="s">
        <v>464</v>
      </c>
      <c r="E338" s="38">
        <v>158</v>
      </c>
      <c r="F338" s="38">
        <v>187</v>
      </c>
      <c r="G338" s="38"/>
      <c r="H338" s="31"/>
      <c r="I338" s="38">
        <v>217</v>
      </c>
      <c r="J338" s="38">
        <v>172</v>
      </c>
      <c r="K338" s="23">
        <f t="shared" si="10"/>
        <v>734</v>
      </c>
    </row>
    <row r="339" spans="1:11" ht="16.5" thickBot="1">
      <c r="A339" s="18">
        <f t="shared" si="11"/>
        <v>334</v>
      </c>
      <c r="B339" s="37" t="s">
        <v>322</v>
      </c>
      <c r="C339" s="37" t="s">
        <v>779</v>
      </c>
      <c r="D339" s="36" t="s">
        <v>772</v>
      </c>
      <c r="E339" s="38"/>
      <c r="F339" s="38">
        <v>213</v>
      </c>
      <c r="G339" s="38">
        <v>161</v>
      </c>
      <c r="H339" s="31">
        <v>159</v>
      </c>
      <c r="I339" s="38"/>
      <c r="J339" s="38">
        <v>200</v>
      </c>
      <c r="K339" s="23">
        <f t="shared" si="10"/>
        <v>733</v>
      </c>
    </row>
    <row r="340" spans="1:11" ht="16.5" thickBot="1">
      <c r="A340" s="18">
        <f t="shared" si="11"/>
        <v>335</v>
      </c>
      <c r="B340" s="37" t="s">
        <v>223</v>
      </c>
      <c r="C340" s="37" t="s">
        <v>224</v>
      </c>
      <c r="D340" s="36" t="s">
        <v>220</v>
      </c>
      <c r="E340" s="38">
        <v>225</v>
      </c>
      <c r="F340" s="38">
        <v>175</v>
      </c>
      <c r="G340" s="38">
        <v>180</v>
      </c>
      <c r="H340" s="31">
        <v>151</v>
      </c>
      <c r="I340" s="38"/>
      <c r="J340" s="38"/>
      <c r="K340" s="23">
        <f t="shared" si="10"/>
        <v>731</v>
      </c>
    </row>
    <row r="341" spans="1:11" ht="16.5" thickBot="1">
      <c r="A341" s="18">
        <f t="shared" si="11"/>
        <v>336</v>
      </c>
      <c r="B341" s="37" t="s">
        <v>28</v>
      </c>
      <c r="C341" s="37" t="s">
        <v>156</v>
      </c>
      <c r="D341" s="36" t="s">
        <v>154</v>
      </c>
      <c r="E341" s="38"/>
      <c r="F341" s="38"/>
      <c r="G341" s="38">
        <v>149</v>
      </c>
      <c r="H341" s="31">
        <v>215</v>
      </c>
      <c r="I341" s="38">
        <v>171</v>
      </c>
      <c r="J341" s="38">
        <v>195</v>
      </c>
      <c r="K341" s="23">
        <f t="shared" si="10"/>
        <v>730</v>
      </c>
    </row>
    <row r="342" spans="1:11" ht="16.5" thickBot="1">
      <c r="A342" s="18">
        <f t="shared" si="11"/>
        <v>337</v>
      </c>
      <c r="B342" s="37" t="s">
        <v>351</v>
      </c>
      <c r="C342" s="37" t="s">
        <v>352</v>
      </c>
      <c r="D342" s="36" t="s">
        <v>342</v>
      </c>
      <c r="E342" s="38">
        <v>174</v>
      </c>
      <c r="F342" s="38">
        <v>199</v>
      </c>
      <c r="G342" s="38">
        <v>198</v>
      </c>
      <c r="H342" s="31">
        <v>154</v>
      </c>
      <c r="I342" s="38"/>
      <c r="J342" s="38"/>
      <c r="K342" s="23">
        <f t="shared" si="10"/>
        <v>725</v>
      </c>
    </row>
    <row r="343" spans="1:11" ht="16.5" thickBot="1">
      <c r="A343" s="18">
        <f t="shared" si="11"/>
        <v>338</v>
      </c>
      <c r="B343" s="37" t="s">
        <v>266</v>
      </c>
      <c r="C343" s="37" t="s">
        <v>623</v>
      </c>
      <c r="D343" s="36" t="s">
        <v>617</v>
      </c>
      <c r="E343" s="38">
        <v>171</v>
      </c>
      <c r="F343" s="38">
        <v>178</v>
      </c>
      <c r="G343" s="38">
        <v>202</v>
      </c>
      <c r="H343" s="31">
        <v>170</v>
      </c>
      <c r="I343" s="38"/>
      <c r="J343" s="38"/>
      <c r="K343" s="23">
        <f t="shared" si="10"/>
        <v>721</v>
      </c>
    </row>
    <row r="344" spans="1:11" ht="16.5" thickBot="1">
      <c r="A344" s="18">
        <f t="shared" si="11"/>
        <v>339</v>
      </c>
      <c r="B344" s="37" t="s">
        <v>313</v>
      </c>
      <c r="C344" s="37" t="s">
        <v>506</v>
      </c>
      <c r="D344" s="36" t="s">
        <v>501</v>
      </c>
      <c r="E344" s="38">
        <v>174</v>
      </c>
      <c r="F344" s="38">
        <v>203</v>
      </c>
      <c r="G344" s="38">
        <v>207</v>
      </c>
      <c r="H344" s="31">
        <v>135</v>
      </c>
      <c r="I344" s="38"/>
      <c r="J344" s="38"/>
      <c r="K344" s="23">
        <f t="shared" si="10"/>
        <v>719</v>
      </c>
    </row>
    <row r="345" spans="1:11" ht="16.5" thickBot="1">
      <c r="A345" s="18">
        <f t="shared" si="11"/>
        <v>340</v>
      </c>
      <c r="B345" s="37" t="s">
        <v>99</v>
      </c>
      <c r="C345" s="37" t="s">
        <v>800</v>
      </c>
      <c r="D345" s="36" t="s">
        <v>799</v>
      </c>
      <c r="E345" s="38">
        <v>162</v>
      </c>
      <c r="F345" s="38"/>
      <c r="G345" s="38"/>
      <c r="H345" s="31">
        <v>177</v>
      </c>
      <c r="I345" s="38">
        <v>167</v>
      </c>
      <c r="J345" s="38">
        <v>211</v>
      </c>
      <c r="K345" s="23">
        <f t="shared" si="10"/>
        <v>717</v>
      </c>
    </row>
    <row r="346" spans="1:11" ht="16.5" thickBot="1">
      <c r="A346" s="18">
        <f t="shared" si="11"/>
        <v>341</v>
      </c>
      <c r="B346" s="37" t="s">
        <v>518</v>
      </c>
      <c r="C346" s="37" t="s">
        <v>519</v>
      </c>
      <c r="D346" s="36" t="s">
        <v>514</v>
      </c>
      <c r="E346" s="38">
        <v>209</v>
      </c>
      <c r="F346" s="38">
        <v>167</v>
      </c>
      <c r="G346" s="38">
        <v>191</v>
      </c>
      <c r="H346" s="31">
        <v>139</v>
      </c>
      <c r="I346" s="38"/>
      <c r="J346" s="38"/>
      <c r="K346" s="23">
        <f t="shared" si="10"/>
        <v>706</v>
      </c>
    </row>
    <row r="347" spans="1:11" ht="16.5" thickBot="1">
      <c r="A347" s="18">
        <f t="shared" si="11"/>
        <v>342</v>
      </c>
      <c r="B347" s="37" t="s">
        <v>467</v>
      </c>
      <c r="C347" s="37" t="s">
        <v>714</v>
      </c>
      <c r="D347" s="36" t="s">
        <v>713</v>
      </c>
      <c r="E347" s="38">
        <v>177</v>
      </c>
      <c r="F347" s="38">
        <v>164</v>
      </c>
      <c r="G347" s="38"/>
      <c r="H347" s="31"/>
      <c r="I347" s="38">
        <v>179</v>
      </c>
      <c r="J347" s="38">
        <v>186</v>
      </c>
      <c r="K347" s="23">
        <f t="shared" si="10"/>
        <v>706</v>
      </c>
    </row>
    <row r="348" spans="1:11" ht="16.5" thickBot="1">
      <c r="A348" s="18">
        <f t="shared" si="11"/>
        <v>343</v>
      </c>
      <c r="B348" s="37" t="s">
        <v>649</v>
      </c>
      <c r="C348" s="37" t="s">
        <v>650</v>
      </c>
      <c r="D348" s="36" t="s">
        <v>643</v>
      </c>
      <c r="E348" s="38">
        <v>168</v>
      </c>
      <c r="F348" s="38">
        <v>148</v>
      </c>
      <c r="G348" s="38"/>
      <c r="H348" s="31"/>
      <c r="I348" s="38">
        <v>173</v>
      </c>
      <c r="J348" s="38">
        <v>216</v>
      </c>
      <c r="K348" s="23">
        <f t="shared" si="10"/>
        <v>705</v>
      </c>
    </row>
    <row r="349" spans="1:11" ht="16.5" thickBot="1">
      <c r="A349" s="18">
        <f t="shared" si="11"/>
        <v>344</v>
      </c>
      <c r="B349" s="37" t="s">
        <v>187</v>
      </c>
      <c r="C349" s="37" t="s">
        <v>48</v>
      </c>
      <c r="D349" s="36" t="s">
        <v>180</v>
      </c>
      <c r="E349" s="38">
        <v>223</v>
      </c>
      <c r="F349" s="38">
        <v>161</v>
      </c>
      <c r="G349" s="38">
        <v>159</v>
      </c>
      <c r="H349" s="31"/>
      <c r="I349" s="38">
        <v>160</v>
      </c>
      <c r="J349" s="38"/>
      <c r="K349" s="23">
        <f t="shared" si="10"/>
        <v>703</v>
      </c>
    </row>
    <row r="350" spans="1:11" ht="16.5" thickBot="1">
      <c r="A350" s="18">
        <f t="shared" si="11"/>
        <v>345</v>
      </c>
      <c r="B350" s="37" t="s">
        <v>88</v>
      </c>
      <c r="C350" s="37" t="s">
        <v>771</v>
      </c>
      <c r="D350" s="36" t="s">
        <v>763</v>
      </c>
      <c r="E350" s="38"/>
      <c r="F350" s="38"/>
      <c r="G350" s="38"/>
      <c r="H350" s="31">
        <v>246</v>
      </c>
      <c r="I350" s="38">
        <v>178</v>
      </c>
      <c r="J350" s="38">
        <v>279</v>
      </c>
      <c r="K350" s="23">
        <f t="shared" si="10"/>
        <v>703</v>
      </c>
    </row>
    <row r="351" spans="1:11" ht="16.5" thickBot="1">
      <c r="A351" s="18">
        <f t="shared" si="11"/>
        <v>346</v>
      </c>
      <c r="B351" s="37" t="s">
        <v>311</v>
      </c>
      <c r="C351" s="37" t="s">
        <v>312</v>
      </c>
      <c r="D351" s="36" t="s">
        <v>304</v>
      </c>
      <c r="E351" s="38">
        <v>136</v>
      </c>
      <c r="F351" s="38"/>
      <c r="G351" s="38"/>
      <c r="H351" s="31">
        <v>205</v>
      </c>
      <c r="I351" s="38">
        <v>172</v>
      </c>
      <c r="J351" s="38">
        <v>189</v>
      </c>
      <c r="K351" s="23">
        <f t="shared" si="10"/>
        <v>702</v>
      </c>
    </row>
    <row r="352" spans="1:11" ht="16.5" thickBot="1">
      <c r="A352" s="18">
        <f t="shared" si="11"/>
        <v>347</v>
      </c>
      <c r="B352" s="37" t="s">
        <v>77</v>
      </c>
      <c r="C352" s="37" t="s">
        <v>655</v>
      </c>
      <c r="D352" s="36" t="s">
        <v>654</v>
      </c>
      <c r="E352" s="38">
        <v>182</v>
      </c>
      <c r="F352" s="38">
        <v>203</v>
      </c>
      <c r="G352" s="38">
        <v>179</v>
      </c>
      <c r="H352" s="31">
        <v>135</v>
      </c>
      <c r="I352" s="38"/>
      <c r="J352" s="38"/>
      <c r="K352" s="23">
        <f t="shared" si="10"/>
        <v>699</v>
      </c>
    </row>
    <row r="353" spans="1:11" ht="16.5" thickBot="1">
      <c r="A353" s="18">
        <f t="shared" si="11"/>
        <v>348</v>
      </c>
      <c r="B353" s="37" t="s">
        <v>168</v>
      </c>
      <c r="C353" s="37" t="s">
        <v>169</v>
      </c>
      <c r="D353" s="36" t="s">
        <v>167</v>
      </c>
      <c r="E353" s="38">
        <v>158</v>
      </c>
      <c r="F353" s="38">
        <v>130</v>
      </c>
      <c r="G353" s="38"/>
      <c r="H353" s="31"/>
      <c r="I353" s="38">
        <v>223</v>
      </c>
      <c r="J353" s="38">
        <v>184</v>
      </c>
      <c r="K353" s="23">
        <f t="shared" si="10"/>
        <v>695</v>
      </c>
    </row>
    <row r="354" spans="1:11" ht="16.5" thickBot="1">
      <c r="A354" s="18">
        <f t="shared" si="11"/>
        <v>349</v>
      </c>
      <c r="B354" s="37" t="s">
        <v>250</v>
      </c>
      <c r="C354" s="37" t="s">
        <v>319</v>
      </c>
      <c r="D354" s="36" t="s">
        <v>318</v>
      </c>
      <c r="E354" s="38"/>
      <c r="F354" s="38">
        <v>144</v>
      </c>
      <c r="G354" s="38">
        <v>232</v>
      </c>
      <c r="H354" s="31">
        <v>181</v>
      </c>
      <c r="I354" s="38">
        <v>138</v>
      </c>
      <c r="J354" s="38"/>
      <c r="K354" s="23">
        <f t="shared" si="10"/>
        <v>695</v>
      </c>
    </row>
    <row r="355" spans="1:11" ht="16.5" thickBot="1">
      <c r="A355" s="18">
        <f t="shared" si="11"/>
        <v>350</v>
      </c>
      <c r="B355" s="37" t="s">
        <v>14</v>
      </c>
      <c r="C355" s="37" t="s">
        <v>15</v>
      </c>
      <c r="D355" s="36" t="s">
        <v>13</v>
      </c>
      <c r="E355" s="38">
        <v>146</v>
      </c>
      <c r="F355" s="38">
        <v>164</v>
      </c>
      <c r="G355" s="38">
        <v>150</v>
      </c>
      <c r="H355" s="31"/>
      <c r="I355" s="38"/>
      <c r="J355" s="38">
        <v>234</v>
      </c>
      <c r="K355" s="23">
        <f t="shared" si="10"/>
        <v>694</v>
      </c>
    </row>
    <row r="356" spans="1:11" ht="16.5" thickBot="1">
      <c r="A356" s="18">
        <f t="shared" si="11"/>
        <v>351</v>
      </c>
      <c r="B356" s="37" t="s">
        <v>23</v>
      </c>
      <c r="C356" s="37" t="s">
        <v>341</v>
      </c>
      <c r="D356" s="36" t="s">
        <v>331</v>
      </c>
      <c r="E356" s="38"/>
      <c r="F356" s="38">
        <v>161</v>
      </c>
      <c r="G356" s="38">
        <v>206</v>
      </c>
      <c r="H356" s="31">
        <v>176</v>
      </c>
      <c r="I356" s="38">
        <v>149</v>
      </c>
      <c r="J356" s="38"/>
      <c r="K356" s="23">
        <f t="shared" si="10"/>
        <v>692</v>
      </c>
    </row>
    <row r="357" spans="1:11" ht="16.5" thickBot="1">
      <c r="A357" s="18">
        <f t="shared" si="11"/>
        <v>352</v>
      </c>
      <c r="B357" s="37" t="s">
        <v>555</v>
      </c>
      <c r="C357" s="37" t="s">
        <v>556</v>
      </c>
      <c r="D357" s="36" t="s">
        <v>547</v>
      </c>
      <c r="E357" s="38">
        <v>179</v>
      </c>
      <c r="F357" s="38">
        <v>189</v>
      </c>
      <c r="G357" s="38">
        <v>156</v>
      </c>
      <c r="H357" s="31">
        <v>160</v>
      </c>
      <c r="I357" s="38"/>
      <c r="J357" s="38"/>
      <c r="K357" s="23">
        <f t="shared" si="10"/>
        <v>684</v>
      </c>
    </row>
    <row r="358" spans="1:11" ht="16.5" thickBot="1">
      <c r="A358" s="18">
        <f t="shared" si="11"/>
        <v>353</v>
      </c>
      <c r="B358" s="37" t="s">
        <v>748</v>
      </c>
      <c r="C358" s="37" t="s">
        <v>749</v>
      </c>
      <c r="D358" s="36" t="s">
        <v>741</v>
      </c>
      <c r="E358" s="38"/>
      <c r="F358" s="38"/>
      <c r="G358" s="38">
        <v>178</v>
      </c>
      <c r="H358" s="31">
        <v>167</v>
      </c>
      <c r="I358" s="38">
        <v>187</v>
      </c>
      <c r="J358" s="38">
        <v>148</v>
      </c>
      <c r="K358" s="23">
        <f t="shared" si="10"/>
        <v>680</v>
      </c>
    </row>
    <row r="359" spans="1:11" ht="16.5" thickBot="1">
      <c r="A359" s="18">
        <f t="shared" si="11"/>
        <v>354</v>
      </c>
      <c r="B359" s="37" t="s">
        <v>498</v>
      </c>
      <c r="C359" s="37" t="s">
        <v>238</v>
      </c>
      <c r="D359" s="36" t="s">
        <v>490</v>
      </c>
      <c r="E359" s="38">
        <v>123</v>
      </c>
      <c r="F359" s="38"/>
      <c r="G359" s="38"/>
      <c r="H359" s="31">
        <v>168</v>
      </c>
      <c r="I359" s="38">
        <v>162</v>
      </c>
      <c r="J359" s="38">
        <v>224</v>
      </c>
      <c r="K359" s="23">
        <f t="shared" si="10"/>
        <v>677</v>
      </c>
    </row>
    <row r="360" spans="1:11" ht="16.5" thickBot="1">
      <c r="A360" s="18">
        <f t="shared" si="11"/>
        <v>355</v>
      </c>
      <c r="B360" s="37" t="s">
        <v>141</v>
      </c>
      <c r="C360" s="37" t="s">
        <v>728</v>
      </c>
      <c r="D360" s="36" t="s">
        <v>720</v>
      </c>
      <c r="E360" s="38">
        <v>146</v>
      </c>
      <c r="F360" s="38">
        <v>195</v>
      </c>
      <c r="G360" s="38">
        <v>178</v>
      </c>
      <c r="H360" s="31">
        <v>154</v>
      </c>
      <c r="I360" s="38"/>
      <c r="J360" s="38"/>
      <c r="K360" s="23">
        <f t="shared" si="10"/>
        <v>673</v>
      </c>
    </row>
    <row r="361" spans="1:11" ht="16.5" thickBot="1">
      <c r="A361" s="18">
        <f t="shared" si="11"/>
        <v>356</v>
      </c>
      <c r="B361" s="37" t="s">
        <v>700</v>
      </c>
      <c r="C361" s="37" t="s">
        <v>701</v>
      </c>
      <c r="D361" s="36" t="s">
        <v>695</v>
      </c>
      <c r="E361" s="38">
        <v>188</v>
      </c>
      <c r="F361" s="38">
        <v>210</v>
      </c>
      <c r="G361" s="38">
        <v>127</v>
      </c>
      <c r="H361" s="31"/>
      <c r="I361" s="38">
        <v>145</v>
      </c>
      <c r="J361" s="38"/>
      <c r="K361" s="23">
        <f t="shared" si="10"/>
        <v>670</v>
      </c>
    </row>
    <row r="362" spans="1:11" ht="16.5" thickBot="1">
      <c r="A362" s="18">
        <f t="shared" si="11"/>
        <v>357</v>
      </c>
      <c r="B362" s="37" t="s">
        <v>870</v>
      </c>
      <c r="C362" s="37" t="s">
        <v>43</v>
      </c>
      <c r="D362" s="36" t="s">
        <v>865</v>
      </c>
      <c r="E362" s="38">
        <v>145</v>
      </c>
      <c r="F362" s="38">
        <v>115</v>
      </c>
      <c r="G362" s="38"/>
      <c r="H362" s="31">
        <v>132</v>
      </c>
      <c r="I362" s="38">
        <v>146</v>
      </c>
      <c r="J362" s="38">
        <v>125</v>
      </c>
      <c r="K362" s="23">
        <f t="shared" si="10"/>
        <v>663</v>
      </c>
    </row>
    <row r="363" spans="1:11" ht="16.5" thickBot="1">
      <c r="A363" s="18">
        <f t="shared" si="11"/>
        <v>358</v>
      </c>
      <c r="B363" s="37" t="s">
        <v>99</v>
      </c>
      <c r="C363" s="37" t="s">
        <v>100</v>
      </c>
      <c r="D363" s="36" t="s">
        <v>98</v>
      </c>
      <c r="E363" s="38">
        <v>145</v>
      </c>
      <c r="F363" s="38">
        <v>230</v>
      </c>
      <c r="G363" s="38">
        <v>162</v>
      </c>
      <c r="H363" s="31">
        <v>120</v>
      </c>
      <c r="I363" s="38"/>
      <c r="J363" s="38"/>
      <c r="K363" s="23">
        <f t="shared" si="10"/>
        <v>657</v>
      </c>
    </row>
    <row r="364" spans="1:11" ht="16.5" thickBot="1">
      <c r="A364" s="18">
        <f t="shared" si="11"/>
        <v>359</v>
      </c>
      <c r="B364" s="37" t="s">
        <v>473</v>
      </c>
      <c r="C364" s="37" t="s">
        <v>796</v>
      </c>
      <c r="D364" s="36" t="s">
        <v>789</v>
      </c>
      <c r="E364" s="38">
        <v>180</v>
      </c>
      <c r="F364" s="38">
        <v>161</v>
      </c>
      <c r="G364" s="38">
        <v>164</v>
      </c>
      <c r="H364" s="31">
        <v>152</v>
      </c>
      <c r="I364" s="38"/>
      <c r="J364" s="38"/>
      <c r="K364" s="23">
        <f t="shared" si="10"/>
        <v>657</v>
      </c>
    </row>
    <row r="365" spans="1:11" ht="16.5" thickBot="1">
      <c r="A365" s="18">
        <f t="shared" si="11"/>
        <v>360</v>
      </c>
      <c r="B365" s="37" t="s">
        <v>745</v>
      </c>
      <c r="C365" s="37" t="s">
        <v>746</v>
      </c>
      <c r="D365" s="36" t="s">
        <v>741</v>
      </c>
      <c r="E365" s="38">
        <v>144</v>
      </c>
      <c r="F365" s="38">
        <v>141</v>
      </c>
      <c r="G365" s="38"/>
      <c r="H365" s="31"/>
      <c r="I365" s="38">
        <v>156</v>
      </c>
      <c r="J365" s="38">
        <v>215</v>
      </c>
      <c r="K365" s="23">
        <f t="shared" si="10"/>
        <v>656</v>
      </c>
    </row>
    <row r="366" spans="1:11" ht="16.5" thickBot="1">
      <c r="A366" s="18">
        <f t="shared" si="11"/>
        <v>361</v>
      </c>
      <c r="B366" s="37" t="s">
        <v>344</v>
      </c>
      <c r="C366" s="37" t="s">
        <v>757</v>
      </c>
      <c r="D366" s="36" t="s">
        <v>751</v>
      </c>
      <c r="E366" s="38">
        <v>138</v>
      </c>
      <c r="F366" s="38"/>
      <c r="G366" s="38">
        <v>199</v>
      </c>
      <c r="H366" s="31">
        <v>179</v>
      </c>
      <c r="I366" s="38">
        <v>139</v>
      </c>
      <c r="J366" s="38"/>
      <c r="K366" s="23">
        <f t="shared" si="10"/>
        <v>655</v>
      </c>
    </row>
    <row r="367" spans="1:11" ht="16.5" thickBot="1">
      <c r="A367" s="18">
        <f t="shared" si="11"/>
        <v>362</v>
      </c>
      <c r="B367" s="37" t="s">
        <v>45</v>
      </c>
      <c r="C367" s="37" t="s">
        <v>414</v>
      </c>
      <c r="D367" s="36" t="s">
        <v>413</v>
      </c>
      <c r="E367" s="38"/>
      <c r="F367" s="38"/>
      <c r="G367" s="38"/>
      <c r="H367" s="31">
        <v>255</v>
      </c>
      <c r="I367" s="38">
        <v>183</v>
      </c>
      <c r="J367" s="38">
        <v>216</v>
      </c>
      <c r="K367" s="23">
        <f t="shared" si="10"/>
        <v>654</v>
      </c>
    </row>
    <row r="368" spans="1:11" ht="16.5" thickBot="1">
      <c r="A368" s="18">
        <f t="shared" si="11"/>
        <v>363</v>
      </c>
      <c r="B368" s="37" t="s">
        <v>435</v>
      </c>
      <c r="C368" s="37" t="s">
        <v>436</v>
      </c>
      <c r="D368" s="36" t="s">
        <v>425</v>
      </c>
      <c r="E368" s="38"/>
      <c r="F368" s="38">
        <v>182</v>
      </c>
      <c r="G368" s="38">
        <v>180</v>
      </c>
      <c r="H368" s="31">
        <v>160</v>
      </c>
      <c r="I368" s="38">
        <v>132</v>
      </c>
      <c r="J368" s="38"/>
      <c r="K368" s="23">
        <f t="shared" si="10"/>
        <v>654</v>
      </c>
    </row>
    <row r="369" spans="1:11" ht="16.5" thickBot="1">
      <c r="A369" s="18">
        <f t="shared" si="11"/>
        <v>364</v>
      </c>
      <c r="B369" s="37" t="s">
        <v>274</v>
      </c>
      <c r="C369" s="37" t="s">
        <v>275</v>
      </c>
      <c r="D369" s="36" t="s">
        <v>271</v>
      </c>
      <c r="E369" s="38">
        <v>97</v>
      </c>
      <c r="F369" s="38">
        <v>93</v>
      </c>
      <c r="G369" s="38">
        <v>109</v>
      </c>
      <c r="H369" s="31">
        <v>100</v>
      </c>
      <c r="I369" s="38">
        <v>133</v>
      </c>
      <c r="J369" s="38">
        <v>119</v>
      </c>
      <c r="K369" s="23">
        <f t="shared" si="10"/>
        <v>651</v>
      </c>
    </row>
    <row r="370" spans="1:11" ht="16.5" thickBot="1">
      <c r="A370" s="18">
        <f t="shared" si="11"/>
        <v>365</v>
      </c>
      <c r="B370" s="37" t="s">
        <v>301</v>
      </c>
      <c r="C370" s="37" t="s">
        <v>302</v>
      </c>
      <c r="D370" s="36" t="s">
        <v>295</v>
      </c>
      <c r="E370" s="38">
        <v>156</v>
      </c>
      <c r="F370" s="38">
        <v>173</v>
      </c>
      <c r="G370" s="38">
        <v>174</v>
      </c>
      <c r="H370" s="31">
        <v>145</v>
      </c>
      <c r="I370" s="38"/>
      <c r="J370" s="38"/>
      <c r="K370" s="23">
        <f t="shared" si="10"/>
        <v>648</v>
      </c>
    </row>
    <row r="371" spans="1:11" ht="16.5" thickBot="1">
      <c r="A371" s="18">
        <f t="shared" si="11"/>
        <v>366</v>
      </c>
      <c r="B371" s="37" t="s">
        <v>530</v>
      </c>
      <c r="C371" s="37" t="s">
        <v>531</v>
      </c>
      <c r="D371" s="36" t="s">
        <v>526</v>
      </c>
      <c r="E371" s="38">
        <v>101</v>
      </c>
      <c r="F371" s="38">
        <v>101</v>
      </c>
      <c r="G371" s="38">
        <v>127</v>
      </c>
      <c r="H371" s="31">
        <v>119</v>
      </c>
      <c r="I371" s="38">
        <v>94</v>
      </c>
      <c r="J371" s="38">
        <v>106</v>
      </c>
      <c r="K371" s="23">
        <f t="shared" si="10"/>
        <v>648</v>
      </c>
    </row>
    <row r="372" spans="1:11" ht="16.5" thickBot="1">
      <c r="A372" s="18">
        <f t="shared" si="11"/>
        <v>367</v>
      </c>
      <c r="B372" s="37" t="s">
        <v>206</v>
      </c>
      <c r="C372" s="37" t="s">
        <v>742</v>
      </c>
      <c r="D372" s="36" t="s">
        <v>741</v>
      </c>
      <c r="E372" s="38">
        <v>168</v>
      </c>
      <c r="F372" s="38">
        <v>201</v>
      </c>
      <c r="G372" s="38">
        <v>142</v>
      </c>
      <c r="H372" s="31"/>
      <c r="I372" s="38"/>
      <c r="J372" s="38">
        <v>134</v>
      </c>
      <c r="K372" s="23">
        <f t="shared" si="10"/>
        <v>645</v>
      </c>
    </row>
    <row r="373" spans="1:11" ht="16.5" thickBot="1">
      <c r="A373" s="18">
        <f t="shared" si="11"/>
        <v>368</v>
      </c>
      <c r="B373" s="37" t="s">
        <v>146</v>
      </c>
      <c r="C373" s="37" t="s">
        <v>147</v>
      </c>
      <c r="D373" s="36" t="s">
        <v>143</v>
      </c>
      <c r="E373" s="38">
        <v>138</v>
      </c>
      <c r="F373" s="38">
        <v>148</v>
      </c>
      <c r="G373" s="38"/>
      <c r="H373" s="31"/>
      <c r="I373" s="38">
        <v>158</v>
      </c>
      <c r="J373" s="38">
        <v>198</v>
      </c>
      <c r="K373" s="23">
        <f t="shared" si="10"/>
        <v>642</v>
      </c>
    </row>
    <row r="374" spans="1:11" ht="16.5" thickBot="1">
      <c r="A374" s="18">
        <f t="shared" si="11"/>
        <v>369</v>
      </c>
      <c r="B374" s="37" t="s">
        <v>120</v>
      </c>
      <c r="C374" s="37" t="s">
        <v>121</v>
      </c>
      <c r="D374" s="36" t="s">
        <v>113</v>
      </c>
      <c r="E374" s="38">
        <v>147</v>
      </c>
      <c r="F374" s="38">
        <v>169</v>
      </c>
      <c r="G374" s="38">
        <v>182</v>
      </c>
      <c r="H374" s="31">
        <v>135</v>
      </c>
      <c r="I374" s="38"/>
      <c r="J374" s="38"/>
      <c r="K374" s="23">
        <f t="shared" si="10"/>
        <v>633</v>
      </c>
    </row>
    <row r="375" spans="1:11" ht="16.5" thickBot="1">
      <c r="A375" s="18">
        <f t="shared" si="11"/>
        <v>370</v>
      </c>
      <c r="B375" s="37" t="s">
        <v>286</v>
      </c>
      <c r="C375" s="37" t="s">
        <v>287</v>
      </c>
      <c r="D375" s="36" t="s">
        <v>281</v>
      </c>
      <c r="E375" s="38">
        <v>112</v>
      </c>
      <c r="F375" s="38">
        <v>133</v>
      </c>
      <c r="G375" s="38"/>
      <c r="H375" s="31"/>
      <c r="I375" s="38">
        <v>179</v>
      </c>
      <c r="J375" s="38">
        <v>208</v>
      </c>
      <c r="K375" s="23">
        <f t="shared" si="10"/>
        <v>632</v>
      </c>
    </row>
    <row r="376" spans="1:11" ht="16.5" thickBot="1">
      <c r="A376" s="18">
        <f t="shared" si="11"/>
        <v>371</v>
      </c>
      <c r="B376" s="37" t="s">
        <v>23</v>
      </c>
      <c r="C376" s="37" t="s">
        <v>221</v>
      </c>
      <c r="D376" s="36" t="s">
        <v>220</v>
      </c>
      <c r="E376" s="38">
        <v>157</v>
      </c>
      <c r="F376" s="38">
        <v>172</v>
      </c>
      <c r="G376" s="38">
        <v>168</v>
      </c>
      <c r="H376" s="31">
        <v>127</v>
      </c>
      <c r="I376" s="38"/>
      <c r="J376" s="38"/>
      <c r="K376" s="23">
        <f t="shared" si="10"/>
        <v>624</v>
      </c>
    </row>
    <row r="377" spans="1:11" ht="16.5" thickBot="1">
      <c r="A377" s="18">
        <f t="shared" si="11"/>
        <v>372</v>
      </c>
      <c r="B377" s="37" t="s">
        <v>92</v>
      </c>
      <c r="C377" s="37" t="s">
        <v>826</v>
      </c>
      <c r="D377" s="36" t="s">
        <v>817</v>
      </c>
      <c r="E377" s="38"/>
      <c r="F377" s="38">
        <v>196</v>
      </c>
      <c r="G377" s="38"/>
      <c r="H377" s="31"/>
      <c r="I377" s="38">
        <v>252</v>
      </c>
      <c r="J377" s="38">
        <v>166</v>
      </c>
      <c r="K377" s="23">
        <f t="shared" si="10"/>
        <v>614</v>
      </c>
    </row>
    <row r="378" spans="1:11" ht="16.5" thickBot="1">
      <c r="A378" s="18">
        <f t="shared" si="11"/>
        <v>373</v>
      </c>
      <c r="B378" s="37" t="s">
        <v>65</v>
      </c>
      <c r="C378" s="37" t="s">
        <v>64</v>
      </c>
      <c r="D378" s="36" t="s">
        <v>61</v>
      </c>
      <c r="E378" s="38">
        <v>120</v>
      </c>
      <c r="F378" s="38">
        <v>155</v>
      </c>
      <c r="G378" s="38">
        <v>170</v>
      </c>
      <c r="H378" s="31">
        <v>162</v>
      </c>
      <c r="I378" s="38"/>
      <c r="J378" s="38"/>
      <c r="K378" s="23">
        <f t="shared" si="10"/>
        <v>607</v>
      </c>
    </row>
    <row r="379" spans="1:11" ht="16.5" thickBot="1">
      <c r="A379" s="18">
        <f t="shared" si="11"/>
        <v>374</v>
      </c>
      <c r="B379" s="37" t="s">
        <v>503</v>
      </c>
      <c r="C379" s="37" t="s">
        <v>290</v>
      </c>
      <c r="D379" s="36" t="s">
        <v>501</v>
      </c>
      <c r="E379" s="38"/>
      <c r="F379" s="38"/>
      <c r="G379" s="38"/>
      <c r="H379" s="31">
        <v>204</v>
      </c>
      <c r="I379" s="38">
        <v>201</v>
      </c>
      <c r="J379" s="38">
        <v>190</v>
      </c>
      <c r="K379" s="23">
        <f t="shared" si="10"/>
        <v>595</v>
      </c>
    </row>
    <row r="380" spans="1:11" ht="16.5" thickBot="1">
      <c r="A380" s="18">
        <f t="shared" si="11"/>
        <v>375</v>
      </c>
      <c r="B380" s="37" t="s">
        <v>206</v>
      </c>
      <c r="C380" s="37" t="s">
        <v>666</v>
      </c>
      <c r="D380" s="36" t="s">
        <v>665</v>
      </c>
      <c r="E380" s="38"/>
      <c r="F380" s="38">
        <v>136</v>
      </c>
      <c r="G380" s="38">
        <v>153</v>
      </c>
      <c r="H380" s="31">
        <v>111</v>
      </c>
      <c r="I380" s="38"/>
      <c r="J380" s="38">
        <v>193</v>
      </c>
      <c r="K380" s="23">
        <f t="shared" si="10"/>
        <v>593</v>
      </c>
    </row>
    <row r="381" spans="1:11" ht="16.5" thickBot="1">
      <c r="A381" s="18">
        <f t="shared" si="11"/>
        <v>376</v>
      </c>
      <c r="B381" s="37" t="s">
        <v>53</v>
      </c>
      <c r="C381" s="37" t="s">
        <v>54</v>
      </c>
      <c r="D381" s="36" t="s">
        <v>44</v>
      </c>
      <c r="E381" s="38"/>
      <c r="F381" s="38"/>
      <c r="G381" s="38">
        <v>185</v>
      </c>
      <c r="H381" s="31">
        <v>258</v>
      </c>
      <c r="I381" s="38">
        <v>148</v>
      </c>
      <c r="J381" s="38"/>
      <c r="K381" s="23">
        <f t="shared" si="10"/>
        <v>591</v>
      </c>
    </row>
    <row r="382" spans="1:11" ht="16.5" thickBot="1">
      <c r="A382" s="18">
        <f t="shared" si="11"/>
        <v>377</v>
      </c>
      <c r="B382" s="37" t="s">
        <v>510</v>
      </c>
      <c r="C382" s="37" t="s">
        <v>511</v>
      </c>
      <c r="D382" s="36" t="s">
        <v>501</v>
      </c>
      <c r="E382" s="38">
        <v>182</v>
      </c>
      <c r="F382" s="38">
        <v>236</v>
      </c>
      <c r="G382" s="38">
        <v>161</v>
      </c>
      <c r="H382" s="31"/>
      <c r="I382" s="38"/>
      <c r="J382" s="38"/>
      <c r="K382" s="23">
        <f t="shared" si="10"/>
        <v>579</v>
      </c>
    </row>
    <row r="383" spans="1:11" ht="16.5" thickBot="1">
      <c r="A383" s="18">
        <f t="shared" si="11"/>
        <v>378</v>
      </c>
      <c r="B383" s="37" t="s">
        <v>36</v>
      </c>
      <c r="C383" s="37" t="s">
        <v>37</v>
      </c>
      <c r="D383" s="36" t="s">
        <v>27</v>
      </c>
      <c r="E383" s="38">
        <v>217</v>
      </c>
      <c r="F383" s="38">
        <v>148</v>
      </c>
      <c r="G383" s="38"/>
      <c r="H383" s="31"/>
      <c r="I383" s="38"/>
      <c r="J383" s="38">
        <v>211</v>
      </c>
      <c r="K383" s="23">
        <f t="shared" si="10"/>
        <v>576</v>
      </c>
    </row>
    <row r="384" spans="1:11" ht="16.5" thickBot="1">
      <c r="A384" s="18">
        <f t="shared" si="11"/>
        <v>379</v>
      </c>
      <c r="B384" s="37" t="s">
        <v>92</v>
      </c>
      <c r="C384" s="37" t="s">
        <v>862</v>
      </c>
      <c r="D384" s="36" t="s">
        <v>856</v>
      </c>
      <c r="E384" s="38"/>
      <c r="F384" s="38"/>
      <c r="G384" s="38">
        <v>208</v>
      </c>
      <c r="H384" s="31">
        <v>193</v>
      </c>
      <c r="I384" s="38">
        <v>168</v>
      </c>
      <c r="J384" s="38"/>
      <c r="K384" s="23">
        <f t="shared" si="10"/>
        <v>569</v>
      </c>
    </row>
    <row r="385" spans="1:11" ht="16.5" thickBot="1">
      <c r="A385" s="18">
        <f t="shared" si="11"/>
        <v>380</v>
      </c>
      <c r="B385" s="37" t="s">
        <v>99</v>
      </c>
      <c r="C385" s="37" t="s">
        <v>829</v>
      </c>
      <c r="D385" s="36" t="s">
        <v>827</v>
      </c>
      <c r="E385" s="38"/>
      <c r="F385" s="38"/>
      <c r="G385" s="38"/>
      <c r="H385" s="31">
        <v>185</v>
      </c>
      <c r="I385" s="38">
        <v>247</v>
      </c>
      <c r="J385" s="38">
        <v>136</v>
      </c>
      <c r="K385" s="23">
        <f t="shared" si="10"/>
        <v>568</v>
      </c>
    </row>
    <row r="386" spans="1:11" ht="16.5" thickBot="1">
      <c r="A386" s="18">
        <f t="shared" si="11"/>
        <v>381</v>
      </c>
      <c r="B386" s="37" t="s">
        <v>422</v>
      </c>
      <c r="C386" s="37" t="s">
        <v>423</v>
      </c>
      <c r="D386" s="36" t="s">
        <v>413</v>
      </c>
      <c r="E386" s="38">
        <v>199</v>
      </c>
      <c r="F386" s="38">
        <v>206</v>
      </c>
      <c r="G386" s="38">
        <v>159</v>
      </c>
      <c r="H386" s="31"/>
      <c r="I386" s="38"/>
      <c r="J386" s="38"/>
      <c r="K386" s="23">
        <f t="shared" si="10"/>
        <v>564</v>
      </c>
    </row>
    <row r="387" spans="1:11" ht="16.5" thickBot="1">
      <c r="A387" s="18">
        <f t="shared" si="11"/>
        <v>382</v>
      </c>
      <c r="B387" s="37" t="s">
        <v>94</v>
      </c>
      <c r="C387" s="37" t="s">
        <v>110</v>
      </c>
      <c r="D387" s="36" t="s">
        <v>98</v>
      </c>
      <c r="E387" s="38"/>
      <c r="F387" s="38"/>
      <c r="G387" s="38"/>
      <c r="H387" s="31">
        <v>224</v>
      </c>
      <c r="I387" s="38">
        <v>152</v>
      </c>
      <c r="J387" s="38">
        <v>186</v>
      </c>
      <c r="K387" s="23">
        <f t="shared" si="10"/>
        <v>562</v>
      </c>
    </row>
    <row r="388" spans="1:11" ht="16.5" thickBot="1">
      <c r="A388" s="18">
        <f t="shared" si="11"/>
        <v>383</v>
      </c>
      <c r="B388" s="37" t="s">
        <v>45</v>
      </c>
      <c r="C388" s="37" t="s">
        <v>56</v>
      </c>
      <c r="D388" s="36" t="s">
        <v>74</v>
      </c>
      <c r="E388" s="38"/>
      <c r="F388" s="38">
        <v>219</v>
      </c>
      <c r="G388" s="38">
        <v>140</v>
      </c>
      <c r="H388" s="31"/>
      <c r="I388" s="38"/>
      <c r="J388" s="38">
        <v>201</v>
      </c>
      <c r="K388" s="23">
        <f t="shared" si="10"/>
        <v>560</v>
      </c>
    </row>
    <row r="389" spans="1:11" ht="16.5" thickBot="1">
      <c r="A389" s="18">
        <f t="shared" si="11"/>
        <v>384</v>
      </c>
      <c r="B389" s="37" t="s">
        <v>59</v>
      </c>
      <c r="C389" s="37" t="s">
        <v>188</v>
      </c>
      <c r="D389" s="36" t="s">
        <v>180</v>
      </c>
      <c r="E389" s="38"/>
      <c r="F389" s="38">
        <v>206</v>
      </c>
      <c r="G389" s="38">
        <v>169</v>
      </c>
      <c r="H389" s="31"/>
      <c r="I389" s="38"/>
      <c r="J389" s="38">
        <v>181</v>
      </c>
      <c r="K389" s="23">
        <f t="shared" si="10"/>
        <v>556</v>
      </c>
    </row>
    <row r="390" spans="1:11" ht="16.5" thickBot="1">
      <c r="A390" s="18">
        <f t="shared" si="11"/>
        <v>385</v>
      </c>
      <c r="B390" s="37" t="s">
        <v>79</v>
      </c>
      <c r="C390" s="37" t="s">
        <v>878</v>
      </c>
      <c r="D390" s="36" t="s">
        <v>875</v>
      </c>
      <c r="E390" s="38"/>
      <c r="F390" s="38"/>
      <c r="G390" s="38"/>
      <c r="H390" s="31">
        <v>202</v>
      </c>
      <c r="I390" s="38">
        <v>174</v>
      </c>
      <c r="J390" s="38">
        <v>177</v>
      </c>
      <c r="K390" s="23">
        <f t="shared" ref="K390:K453" si="12">SUM(E390:J390)</f>
        <v>553</v>
      </c>
    </row>
    <row r="391" spans="1:11" ht="16.5" thickBot="1">
      <c r="A391" s="18">
        <f t="shared" si="11"/>
        <v>386</v>
      </c>
      <c r="B391" s="37" t="s">
        <v>94</v>
      </c>
      <c r="C391" s="37" t="s">
        <v>95</v>
      </c>
      <c r="D391" s="36" t="s">
        <v>84</v>
      </c>
      <c r="E391" s="38">
        <v>165</v>
      </c>
      <c r="F391" s="38">
        <v>149</v>
      </c>
      <c r="G391" s="38"/>
      <c r="H391" s="31"/>
      <c r="I391" s="38"/>
      <c r="J391" s="38">
        <v>235</v>
      </c>
      <c r="K391" s="23">
        <f t="shared" si="12"/>
        <v>549</v>
      </c>
    </row>
    <row r="392" spans="1:11" ht="16.5" thickBot="1">
      <c r="A392" s="18">
        <f t="shared" ref="A392:A455" si="13">A391+1</f>
        <v>387</v>
      </c>
      <c r="B392" s="37" t="s">
        <v>252</v>
      </c>
      <c r="C392" s="37" t="s">
        <v>253</v>
      </c>
      <c r="D392" s="36" t="s">
        <v>247</v>
      </c>
      <c r="E392" s="38">
        <v>193</v>
      </c>
      <c r="F392" s="38">
        <v>144</v>
      </c>
      <c r="G392" s="38"/>
      <c r="H392" s="31">
        <v>212</v>
      </c>
      <c r="I392" s="38"/>
      <c r="J392" s="38"/>
      <c r="K392" s="23">
        <f t="shared" si="12"/>
        <v>549</v>
      </c>
    </row>
    <row r="393" spans="1:11" ht="16.5" thickBot="1">
      <c r="A393" s="18">
        <f t="shared" si="13"/>
        <v>388</v>
      </c>
      <c r="B393" s="37" t="s">
        <v>170</v>
      </c>
      <c r="C393" s="37" t="s">
        <v>885</v>
      </c>
      <c r="D393" s="36" t="s">
        <v>883</v>
      </c>
      <c r="E393" s="38">
        <v>0</v>
      </c>
      <c r="F393" s="38"/>
      <c r="G393" s="38">
        <v>159</v>
      </c>
      <c r="H393" s="31">
        <v>222</v>
      </c>
      <c r="I393" s="38">
        <v>168</v>
      </c>
      <c r="J393" s="38"/>
      <c r="K393" s="23">
        <f t="shared" si="12"/>
        <v>549</v>
      </c>
    </row>
    <row r="394" spans="1:11" ht="16.5" thickBot="1">
      <c r="A394" s="18">
        <f t="shared" si="13"/>
        <v>389</v>
      </c>
      <c r="B394" s="37" t="s">
        <v>712</v>
      </c>
      <c r="C394" s="37" t="s">
        <v>58</v>
      </c>
      <c r="D394" s="36" t="s">
        <v>703</v>
      </c>
      <c r="E394" s="38">
        <v>208</v>
      </c>
      <c r="F394" s="38">
        <v>192</v>
      </c>
      <c r="G394" s="38">
        <v>147</v>
      </c>
      <c r="H394" s="31"/>
      <c r="I394" s="38"/>
      <c r="J394" s="38"/>
      <c r="K394" s="23">
        <f t="shared" si="12"/>
        <v>547</v>
      </c>
    </row>
    <row r="395" spans="1:11" ht="16.5" thickBot="1">
      <c r="A395" s="18">
        <f t="shared" si="13"/>
        <v>390</v>
      </c>
      <c r="B395" s="37" t="s">
        <v>103</v>
      </c>
      <c r="C395" s="37" t="s">
        <v>126</v>
      </c>
      <c r="D395" s="36" t="s">
        <v>856</v>
      </c>
      <c r="E395" s="38">
        <v>131</v>
      </c>
      <c r="F395" s="38"/>
      <c r="G395" s="38"/>
      <c r="H395" s="31"/>
      <c r="I395" s="38">
        <v>200</v>
      </c>
      <c r="J395" s="38">
        <v>213</v>
      </c>
      <c r="K395" s="23">
        <f t="shared" si="12"/>
        <v>544</v>
      </c>
    </row>
    <row r="396" spans="1:11" ht="16.5" thickBot="1">
      <c r="A396" s="18">
        <f t="shared" si="13"/>
        <v>391</v>
      </c>
      <c r="B396" s="37" t="s">
        <v>443</v>
      </c>
      <c r="C396" s="37" t="s">
        <v>671</v>
      </c>
      <c r="D396" s="36" t="s">
        <v>665</v>
      </c>
      <c r="E396" s="38">
        <v>158</v>
      </c>
      <c r="F396" s="38">
        <v>121</v>
      </c>
      <c r="G396" s="38"/>
      <c r="H396" s="31">
        <v>122</v>
      </c>
      <c r="I396" s="38">
        <v>139</v>
      </c>
      <c r="J396" s="38"/>
      <c r="K396" s="23">
        <f t="shared" si="12"/>
        <v>540</v>
      </c>
    </row>
    <row r="397" spans="1:11" ht="16.5" thickBot="1">
      <c r="A397" s="18">
        <f t="shared" si="13"/>
        <v>392</v>
      </c>
      <c r="B397" s="37" t="s">
        <v>255</v>
      </c>
      <c r="C397" s="37" t="s">
        <v>256</v>
      </c>
      <c r="D397" s="36" t="s">
        <v>247</v>
      </c>
      <c r="E397" s="38">
        <v>158</v>
      </c>
      <c r="F397" s="38"/>
      <c r="G397" s="38"/>
      <c r="H397" s="31"/>
      <c r="I397" s="38">
        <v>211</v>
      </c>
      <c r="J397" s="38">
        <v>167</v>
      </c>
      <c r="K397" s="23">
        <f t="shared" si="12"/>
        <v>536</v>
      </c>
    </row>
    <row r="398" spans="1:11" ht="16.5" thickBot="1">
      <c r="A398" s="18">
        <f t="shared" si="13"/>
        <v>393</v>
      </c>
      <c r="B398" s="37" t="s">
        <v>199</v>
      </c>
      <c r="C398" s="37" t="s">
        <v>48</v>
      </c>
      <c r="D398" s="36" t="s">
        <v>695</v>
      </c>
      <c r="E398" s="38"/>
      <c r="F398" s="38"/>
      <c r="G398" s="38"/>
      <c r="H398" s="31">
        <v>211</v>
      </c>
      <c r="I398" s="38">
        <v>140</v>
      </c>
      <c r="J398" s="38">
        <v>185</v>
      </c>
      <c r="K398" s="23">
        <f t="shared" si="12"/>
        <v>536</v>
      </c>
    </row>
    <row r="399" spans="1:11" ht="16.5" thickBot="1">
      <c r="A399" s="18">
        <f t="shared" si="13"/>
        <v>394</v>
      </c>
      <c r="B399" s="37" t="s">
        <v>456</v>
      </c>
      <c r="C399" s="37" t="s">
        <v>457</v>
      </c>
      <c r="D399" s="36" t="s">
        <v>452</v>
      </c>
      <c r="E399" s="38">
        <v>181</v>
      </c>
      <c r="F399" s="38">
        <v>169</v>
      </c>
      <c r="G399" s="38"/>
      <c r="H399" s="31">
        <v>183</v>
      </c>
      <c r="I399" s="38"/>
      <c r="J399" s="38"/>
      <c r="K399" s="23">
        <f t="shared" si="12"/>
        <v>533</v>
      </c>
    </row>
    <row r="400" spans="1:11" ht="16.5" thickBot="1">
      <c r="A400" s="18">
        <f t="shared" si="13"/>
        <v>395</v>
      </c>
      <c r="B400" s="37" t="s">
        <v>144</v>
      </c>
      <c r="C400" s="37" t="s">
        <v>145</v>
      </c>
      <c r="D400" s="36" t="s">
        <v>143</v>
      </c>
      <c r="E400" s="38"/>
      <c r="F400" s="38"/>
      <c r="G400" s="38">
        <v>178</v>
      </c>
      <c r="H400" s="31">
        <v>175</v>
      </c>
      <c r="I400" s="38"/>
      <c r="J400" s="38">
        <v>176</v>
      </c>
      <c r="K400" s="23">
        <f t="shared" si="12"/>
        <v>529</v>
      </c>
    </row>
    <row r="401" spans="1:11" ht="16.5" thickBot="1">
      <c r="A401" s="18">
        <f t="shared" si="13"/>
        <v>396</v>
      </c>
      <c r="B401" s="37" t="s">
        <v>36</v>
      </c>
      <c r="C401" s="37" t="s">
        <v>818</v>
      </c>
      <c r="D401" s="36" t="s">
        <v>817</v>
      </c>
      <c r="E401" s="38">
        <v>198</v>
      </c>
      <c r="F401" s="38">
        <v>142</v>
      </c>
      <c r="G401" s="38"/>
      <c r="H401" s="31">
        <v>180</v>
      </c>
      <c r="I401" s="38"/>
      <c r="J401" s="38"/>
      <c r="K401" s="23">
        <f t="shared" si="12"/>
        <v>520</v>
      </c>
    </row>
    <row r="402" spans="1:11" ht="16.5" thickBot="1">
      <c r="A402" s="18">
        <f t="shared" si="13"/>
        <v>397</v>
      </c>
      <c r="B402" s="37" t="s">
        <v>136</v>
      </c>
      <c r="C402" s="37" t="s">
        <v>880</v>
      </c>
      <c r="D402" s="36" t="s">
        <v>875</v>
      </c>
      <c r="E402" s="38">
        <v>201</v>
      </c>
      <c r="F402" s="38">
        <v>156</v>
      </c>
      <c r="G402" s="38"/>
      <c r="H402" s="31"/>
      <c r="I402" s="38">
        <v>163</v>
      </c>
      <c r="J402" s="38"/>
      <c r="K402" s="23">
        <f t="shared" si="12"/>
        <v>520</v>
      </c>
    </row>
    <row r="403" spans="1:11" ht="16.5" thickBot="1">
      <c r="A403" s="18">
        <f t="shared" si="13"/>
        <v>398</v>
      </c>
      <c r="B403" s="37" t="s">
        <v>752</v>
      </c>
      <c r="C403" s="37" t="s">
        <v>764</v>
      </c>
      <c r="D403" s="36" t="s">
        <v>763</v>
      </c>
      <c r="E403" s="38">
        <v>203</v>
      </c>
      <c r="F403" s="38">
        <v>189</v>
      </c>
      <c r="G403" s="38">
        <v>127</v>
      </c>
      <c r="H403" s="31"/>
      <c r="I403" s="38"/>
      <c r="J403" s="38"/>
      <c r="K403" s="23">
        <f t="shared" si="12"/>
        <v>519</v>
      </c>
    </row>
    <row r="404" spans="1:11" ht="16.5" thickBot="1">
      <c r="A404" s="18">
        <f t="shared" si="13"/>
        <v>399</v>
      </c>
      <c r="B404" s="37" t="s">
        <v>199</v>
      </c>
      <c r="C404" s="37" t="s">
        <v>582</v>
      </c>
      <c r="D404" s="36" t="s">
        <v>575</v>
      </c>
      <c r="E404" s="38">
        <v>161</v>
      </c>
      <c r="F404" s="38"/>
      <c r="G404" s="38"/>
      <c r="H404" s="31">
        <v>181</v>
      </c>
      <c r="I404" s="38">
        <v>172</v>
      </c>
      <c r="J404" s="38"/>
      <c r="K404" s="23">
        <f t="shared" si="12"/>
        <v>514</v>
      </c>
    </row>
    <row r="405" spans="1:11" ht="16.5" thickBot="1">
      <c r="A405" s="18">
        <f t="shared" si="13"/>
        <v>400</v>
      </c>
      <c r="B405" s="37" t="s">
        <v>130</v>
      </c>
      <c r="C405" s="37" t="s">
        <v>692</v>
      </c>
      <c r="D405" s="36" t="s">
        <v>686</v>
      </c>
      <c r="E405" s="38">
        <v>139</v>
      </c>
      <c r="F405" s="38"/>
      <c r="G405" s="38">
        <v>130</v>
      </c>
      <c r="H405" s="31"/>
      <c r="I405" s="38"/>
      <c r="J405" s="38">
        <v>245</v>
      </c>
      <c r="K405" s="23">
        <f t="shared" si="12"/>
        <v>514</v>
      </c>
    </row>
    <row r="406" spans="1:11" ht="16.5" thickBot="1">
      <c r="A406" s="18">
        <f t="shared" si="13"/>
        <v>401</v>
      </c>
      <c r="B406" s="37" t="s">
        <v>276</v>
      </c>
      <c r="C406" s="37" t="s">
        <v>48</v>
      </c>
      <c r="D406" s="36" t="s">
        <v>342</v>
      </c>
      <c r="E406" s="38">
        <v>190</v>
      </c>
      <c r="F406" s="38">
        <v>172</v>
      </c>
      <c r="G406" s="38">
        <v>149</v>
      </c>
      <c r="H406" s="31"/>
      <c r="I406" s="38"/>
      <c r="J406" s="38"/>
      <c r="K406" s="23">
        <f t="shared" si="12"/>
        <v>511</v>
      </c>
    </row>
    <row r="407" spans="1:11" ht="16.5" thickBot="1">
      <c r="A407" s="18">
        <f t="shared" si="13"/>
        <v>402</v>
      </c>
      <c r="B407" s="37" t="s">
        <v>888</v>
      </c>
      <c r="C407" s="37" t="s">
        <v>890</v>
      </c>
      <c r="D407" s="36" t="s">
        <v>883</v>
      </c>
      <c r="E407" s="38">
        <v>162</v>
      </c>
      <c r="F407" s="38">
        <v>158</v>
      </c>
      <c r="G407" s="38"/>
      <c r="H407" s="31"/>
      <c r="I407" s="38"/>
      <c r="J407" s="38">
        <v>188</v>
      </c>
      <c r="K407" s="23">
        <f t="shared" si="12"/>
        <v>508</v>
      </c>
    </row>
    <row r="408" spans="1:11" ht="16.5" thickBot="1">
      <c r="A408" s="18">
        <f t="shared" si="13"/>
        <v>403</v>
      </c>
      <c r="B408" s="37" t="s">
        <v>773</v>
      </c>
      <c r="C408" s="37" t="s">
        <v>179</v>
      </c>
      <c r="D408" s="36" t="s">
        <v>772</v>
      </c>
      <c r="E408" s="38">
        <v>176</v>
      </c>
      <c r="F408" s="38">
        <v>170</v>
      </c>
      <c r="G408" s="38"/>
      <c r="H408" s="31"/>
      <c r="I408" s="38">
        <v>161</v>
      </c>
      <c r="J408" s="38"/>
      <c r="K408" s="23">
        <f t="shared" si="12"/>
        <v>507</v>
      </c>
    </row>
    <row r="409" spans="1:11" ht="16.5" thickBot="1">
      <c r="A409" s="18">
        <f t="shared" si="13"/>
        <v>404</v>
      </c>
      <c r="B409" s="37" t="s">
        <v>500</v>
      </c>
      <c r="C409" s="37" t="s">
        <v>719</v>
      </c>
      <c r="D409" s="36" t="s">
        <v>713</v>
      </c>
      <c r="E409" s="38">
        <v>210</v>
      </c>
      <c r="F409" s="38">
        <v>154</v>
      </c>
      <c r="G409" s="38"/>
      <c r="H409" s="31">
        <v>139</v>
      </c>
      <c r="I409" s="38"/>
      <c r="J409" s="38"/>
      <c r="K409" s="23">
        <f t="shared" si="12"/>
        <v>503</v>
      </c>
    </row>
    <row r="410" spans="1:11" ht="16.5" thickBot="1">
      <c r="A410" s="18">
        <f t="shared" si="13"/>
        <v>405</v>
      </c>
      <c r="B410" s="37" t="s">
        <v>326</v>
      </c>
      <c r="C410" s="37" t="s">
        <v>828</v>
      </c>
      <c r="D410" s="36" t="s">
        <v>827</v>
      </c>
      <c r="E410" s="38"/>
      <c r="F410" s="38">
        <v>189</v>
      </c>
      <c r="G410" s="38">
        <v>150</v>
      </c>
      <c r="H410" s="31"/>
      <c r="I410" s="38">
        <v>164</v>
      </c>
      <c r="J410" s="38"/>
      <c r="K410" s="23">
        <f t="shared" si="12"/>
        <v>503</v>
      </c>
    </row>
    <row r="411" spans="1:11" ht="16.5" thickBot="1">
      <c r="A411" s="18">
        <f t="shared" si="13"/>
        <v>406</v>
      </c>
      <c r="B411" s="37" t="s">
        <v>332</v>
      </c>
      <c r="C411" s="37" t="s">
        <v>801</v>
      </c>
      <c r="D411" s="36" t="s">
        <v>799</v>
      </c>
      <c r="E411" s="38">
        <v>170</v>
      </c>
      <c r="F411" s="38"/>
      <c r="G411" s="38"/>
      <c r="H411" s="31">
        <v>191</v>
      </c>
      <c r="I411" s="38">
        <v>141</v>
      </c>
      <c r="J411" s="38"/>
      <c r="K411" s="23">
        <f t="shared" si="12"/>
        <v>502</v>
      </c>
    </row>
    <row r="412" spans="1:11" ht="16.5" thickBot="1">
      <c r="A412" s="18">
        <f t="shared" si="13"/>
        <v>407</v>
      </c>
      <c r="B412" s="37" t="s">
        <v>276</v>
      </c>
      <c r="C412" s="37" t="s">
        <v>869</v>
      </c>
      <c r="D412" s="36" t="s">
        <v>865</v>
      </c>
      <c r="E412" s="38">
        <v>130</v>
      </c>
      <c r="F412" s="38"/>
      <c r="G412" s="38">
        <v>110</v>
      </c>
      <c r="H412" s="31"/>
      <c r="I412" s="38">
        <v>137</v>
      </c>
      <c r="J412" s="38">
        <v>120</v>
      </c>
      <c r="K412" s="23">
        <f t="shared" si="12"/>
        <v>497</v>
      </c>
    </row>
    <row r="413" spans="1:11" ht="16.5" thickBot="1">
      <c r="A413" s="18">
        <f t="shared" si="13"/>
        <v>408</v>
      </c>
      <c r="B413" s="37" t="s">
        <v>647</v>
      </c>
      <c r="C413" s="37" t="s">
        <v>802</v>
      </c>
      <c r="D413" s="36" t="s">
        <v>799</v>
      </c>
      <c r="E413" s="38"/>
      <c r="F413" s="38">
        <v>181</v>
      </c>
      <c r="G413" s="38">
        <v>154</v>
      </c>
      <c r="H413" s="31"/>
      <c r="I413" s="38"/>
      <c r="J413" s="38">
        <v>159</v>
      </c>
      <c r="K413" s="23">
        <f t="shared" si="12"/>
        <v>494</v>
      </c>
    </row>
    <row r="414" spans="1:11" ht="16.5" thickBot="1">
      <c r="A414" s="18">
        <f t="shared" si="13"/>
        <v>409</v>
      </c>
      <c r="B414" s="37" t="s">
        <v>38</v>
      </c>
      <c r="C414" s="37" t="s">
        <v>509</v>
      </c>
      <c r="D414" s="36" t="s">
        <v>501</v>
      </c>
      <c r="E414" s="38">
        <v>147</v>
      </c>
      <c r="F414" s="38"/>
      <c r="G414" s="38"/>
      <c r="H414" s="31"/>
      <c r="I414" s="38">
        <v>168</v>
      </c>
      <c r="J414" s="38">
        <v>176</v>
      </c>
      <c r="K414" s="23">
        <f t="shared" si="12"/>
        <v>491</v>
      </c>
    </row>
    <row r="415" spans="1:11" ht="16.5" thickBot="1">
      <c r="A415" s="18">
        <f t="shared" si="13"/>
        <v>410</v>
      </c>
      <c r="B415" s="37" t="s">
        <v>161</v>
      </c>
      <c r="C415" s="37" t="s">
        <v>855</v>
      </c>
      <c r="D415" s="36" t="s">
        <v>848</v>
      </c>
      <c r="E415" s="38"/>
      <c r="F415" s="38">
        <v>181</v>
      </c>
      <c r="G415" s="38">
        <v>145</v>
      </c>
      <c r="H415" s="31">
        <v>161</v>
      </c>
      <c r="I415" s="38"/>
      <c r="J415" s="38"/>
      <c r="K415" s="23">
        <f t="shared" si="12"/>
        <v>487</v>
      </c>
    </row>
    <row r="416" spans="1:11" ht="16.5" thickBot="1">
      <c r="A416" s="18">
        <f t="shared" si="13"/>
        <v>411</v>
      </c>
      <c r="B416" s="37" t="s">
        <v>77</v>
      </c>
      <c r="C416" s="37" t="s">
        <v>78</v>
      </c>
      <c r="D416" s="36" t="s">
        <v>74</v>
      </c>
      <c r="E416" s="38">
        <v>137</v>
      </c>
      <c r="F416" s="38"/>
      <c r="G416" s="38"/>
      <c r="H416" s="31">
        <v>204</v>
      </c>
      <c r="I416" s="38">
        <v>142</v>
      </c>
      <c r="J416" s="38"/>
      <c r="K416" s="23">
        <f t="shared" si="12"/>
        <v>483</v>
      </c>
    </row>
    <row r="417" spans="1:11" ht="16.5" thickBot="1">
      <c r="A417" s="18">
        <f t="shared" si="13"/>
        <v>412</v>
      </c>
      <c r="B417" s="37" t="s">
        <v>210</v>
      </c>
      <c r="C417" s="37" t="s">
        <v>868</v>
      </c>
      <c r="D417" s="36" t="s">
        <v>865</v>
      </c>
      <c r="E417" s="38">
        <v>117</v>
      </c>
      <c r="F417" s="38">
        <v>115</v>
      </c>
      <c r="G417" s="38">
        <v>127</v>
      </c>
      <c r="H417" s="31">
        <v>123</v>
      </c>
      <c r="I417" s="38"/>
      <c r="J417" s="38"/>
      <c r="K417" s="23">
        <f t="shared" si="12"/>
        <v>482</v>
      </c>
    </row>
    <row r="418" spans="1:11" ht="16.5" thickBot="1">
      <c r="A418" s="18">
        <f t="shared" si="13"/>
        <v>413</v>
      </c>
      <c r="B418" s="37" t="s">
        <v>111</v>
      </c>
      <c r="C418" s="37" t="s">
        <v>112</v>
      </c>
      <c r="D418" s="36" t="s">
        <v>98</v>
      </c>
      <c r="E418" s="38">
        <v>170</v>
      </c>
      <c r="F418" s="38">
        <v>151</v>
      </c>
      <c r="G418" s="38">
        <v>157</v>
      </c>
      <c r="H418" s="31"/>
      <c r="I418" s="38"/>
      <c r="J418" s="38"/>
      <c r="K418" s="23">
        <f t="shared" si="12"/>
        <v>478</v>
      </c>
    </row>
    <row r="419" spans="1:11" ht="16.5" thickBot="1">
      <c r="A419" s="18">
        <f t="shared" si="13"/>
        <v>414</v>
      </c>
      <c r="B419" s="37" t="s">
        <v>75</v>
      </c>
      <c r="C419" s="37" t="s">
        <v>255</v>
      </c>
      <c r="D419" s="36" t="s">
        <v>741</v>
      </c>
      <c r="E419" s="38"/>
      <c r="F419" s="38"/>
      <c r="G419" s="38">
        <v>168</v>
      </c>
      <c r="H419" s="31">
        <v>170</v>
      </c>
      <c r="I419" s="38">
        <v>133</v>
      </c>
      <c r="J419" s="38"/>
      <c r="K419" s="23">
        <f t="shared" si="12"/>
        <v>471</v>
      </c>
    </row>
    <row r="420" spans="1:11" ht="16.5" thickBot="1">
      <c r="A420" s="18">
        <f t="shared" si="13"/>
        <v>415</v>
      </c>
      <c r="B420" s="37" t="s">
        <v>124</v>
      </c>
      <c r="C420" s="37" t="s">
        <v>125</v>
      </c>
      <c r="D420" s="36" t="s">
        <v>113</v>
      </c>
      <c r="E420" s="38">
        <v>126</v>
      </c>
      <c r="F420" s="38"/>
      <c r="G420" s="38"/>
      <c r="H420" s="31"/>
      <c r="I420" s="38">
        <v>170</v>
      </c>
      <c r="J420" s="38">
        <v>174</v>
      </c>
      <c r="K420" s="23">
        <f t="shared" si="12"/>
        <v>470</v>
      </c>
    </row>
    <row r="421" spans="1:11" ht="16.5" thickBot="1">
      <c r="A421" s="18">
        <f t="shared" si="13"/>
        <v>416</v>
      </c>
      <c r="B421" s="37" t="s">
        <v>347</v>
      </c>
      <c r="C421" s="37" t="s">
        <v>348</v>
      </c>
      <c r="D421" s="36" t="s">
        <v>342</v>
      </c>
      <c r="E421" s="38"/>
      <c r="F421" s="38"/>
      <c r="G421" s="38"/>
      <c r="H421" s="31"/>
      <c r="I421" s="38">
        <v>210</v>
      </c>
      <c r="J421" s="38">
        <v>258</v>
      </c>
      <c r="K421" s="23">
        <f t="shared" si="12"/>
        <v>468</v>
      </c>
    </row>
    <row r="422" spans="1:11" ht="16.5" thickBot="1">
      <c r="A422" s="18">
        <f t="shared" si="13"/>
        <v>417</v>
      </c>
      <c r="B422" s="37" t="s">
        <v>30</v>
      </c>
      <c r="C422" s="37" t="s">
        <v>178</v>
      </c>
      <c r="D422" s="36" t="s">
        <v>167</v>
      </c>
      <c r="E422" s="38">
        <v>133</v>
      </c>
      <c r="F422" s="38"/>
      <c r="G422" s="38">
        <v>174</v>
      </c>
      <c r="H422" s="31">
        <v>147</v>
      </c>
      <c r="I422" s="38"/>
      <c r="J422" s="38"/>
      <c r="K422" s="23">
        <f t="shared" si="12"/>
        <v>454</v>
      </c>
    </row>
    <row r="423" spans="1:11" ht="16.5" thickBot="1">
      <c r="A423" s="18">
        <f t="shared" si="13"/>
        <v>418</v>
      </c>
      <c r="B423" s="37" t="s">
        <v>92</v>
      </c>
      <c r="C423" s="37" t="s">
        <v>225</v>
      </c>
      <c r="D423" s="36" t="s">
        <v>220</v>
      </c>
      <c r="E423" s="38"/>
      <c r="F423" s="38"/>
      <c r="G423" s="38"/>
      <c r="H423" s="31"/>
      <c r="I423" s="38">
        <v>254</v>
      </c>
      <c r="J423" s="38">
        <v>187</v>
      </c>
      <c r="K423" s="23">
        <f t="shared" si="12"/>
        <v>441</v>
      </c>
    </row>
    <row r="424" spans="1:11" ht="16.5" thickBot="1">
      <c r="A424" s="18">
        <f t="shared" si="13"/>
        <v>419</v>
      </c>
      <c r="B424" s="37" t="s">
        <v>326</v>
      </c>
      <c r="C424" s="37" t="s">
        <v>618</v>
      </c>
      <c r="D424" s="36" t="s">
        <v>617</v>
      </c>
      <c r="E424" s="38"/>
      <c r="F424" s="38"/>
      <c r="G424" s="38"/>
      <c r="H424" s="31"/>
      <c r="I424" s="38">
        <v>235</v>
      </c>
      <c r="J424" s="38">
        <v>202</v>
      </c>
      <c r="K424" s="23">
        <f t="shared" si="12"/>
        <v>437</v>
      </c>
    </row>
    <row r="425" spans="1:11" ht="16.5" thickBot="1">
      <c r="A425" s="18">
        <f t="shared" si="13"/>
        <v>420</v>
      </c>
      <c r="B425" s="37" t="s">
        <v>195</v>
      </c>
      <c r="C425" s="37" t="s">
        <v>196</v>
      </c>
      <c r="D425" s="36" t="s">
        <v>190</v>
      </c>
      <c r="E425" s="38">
        <v>173</v>
      </c>
      <c r="F425" s="38">
        <v>120</v>
      </c>
      <c r="G425" s="38"/>
      <c r="H425" s="31"/>
      <c r="I425" s="38">
        <v>140</v>
      </c>
      <c r="J425" s="38"/>
      <c r="K425" s="23">
        <f t="shared" si="12"/>
        <v>433</v>
      </c>
    </row>
    <row r="426" spans="1:11" ht="16.5" thickBot="1">
      <c r="A426" s="18">
        <f t="shared" si="13"/>
        <v>421</v>
      </c>
      <c r="B426" s="37" t="s">
        <v>283</v>
      </c>
      <c r="C426" s="37" t="s">
        <v>284</v>
      </c>
      <c r="D426" s="36" t="s">
        <v>281</v>
      </c>
      <c r="E426" s="38">
        <v>113</v>
      </c>
      <c r="F426" s="38">
        <v>137</v>
      </c>
      <c r="G426" s="38"/>
      <c r="H426" s="31"/>
      <c r="I426" s="38"/>
      <c r="J426" s="38">
        <v>181</v>
      </c>
      <c r="K426" s="23">
        <f t="shared" si="12"/>
        <v>431</v>
      </c>
    </row>
    <row r="427" spans="1:11" ht="16.5" thickBot="1">
      <c r="A427" s="18">
        <f t="shared" si="13"/>
        <v>422</v>
      </c>
      <c r="B427" s="37" t="s">
        <v>32</v>
      </c>
      <c r="C427" s="37" t="s">
        <v>33</v>
      </c>
      <c r="D427" s="36" t="s">
        <v>27</v>
      </c>
      <c r="E427" s="38"/>
      <c r="F427" s="38"/>
      <c r="G427" s="38"/>
      <c r="H427" s="31"/>
      <c r="I427" s="38">
        <v>222</v>
      </c>
      <c r="J427" s="38">
        <v>207</v>
      </c>
      <c r="K427" s="23">
        <f t="shared" si="12"/>
        <v>429</v>
      </c>
    </row>
    <row r="428" spans="1:11" ht="16.5" thickBot="1">
      <c r="A428" s="18">
        <f t="shared" si="13"/>
        <v>423</v>
      </c>
      <c r="B428" s="37" t="s">
        <v>197</v>
      </c>
      <c r="C428" s="37" t="s">
        <v>198</v>
      </c>
      <c r="D428" s="36" t="s">
        <v>190</v>
      </c>
      <c r="E428" s="38"/>
      <c r="F428" s="38"/>
      <c r="G428" s="38">
        <v>144</v>
      </c>
      <c r="H428" s="31">
        <v>127</v>
      </c>
      <c r="I428" s="38"/>
      <c r="J428" s="38">
        <v>153</v>
      </c>
      <c r="K428" s="23">
        <f t="shared" si="12"/>
        <v>424</v>
      </c>
    </row>
    <row r="429" spans="1:11" ht="16.5" thickBot="1">
      <c r="A429" s="18">
        <f t="shared" si="13"/>
        <v>424</v>
      </c>
      <c r="B429" s="37" t="s">
        <v>92</v>
      </c>
      <c r="C429" s="37" t="s">
        <v>412</v>
      </c>
      <c r="D429" s="36" t="s">
        <v>547</v>
      </c>
      <c r="E429" s="38"/>
      <c r="F429" s="38"/>
      <c r="G429" s="38"/>
      <c r="H429" s="31"/>
      <c r="I429" s="38">
        <v>194</v>
      </c>
      <c r="J429" s="38">
        <v>214</v>
      </c>
      <c r="K429" s="23">
        <f t="shared" si="12"/>
        <v>408</v>
      </c>
    </row>
    <row r="430" spans="1:11" ht="16.5" thickBot="1">
      <c r="A430" s="18">
        <f t="shared" si="13"/>
        <v>425</v>
      </c>
      <c r="B430" s="37" t="s">
        <v>59</v>
      </c>
      <c r="C430" s="37" t="s">
        <v>189</v>
      </c>
      <c r="D430" s="36" t="s">
        <v>180</v>
      </c>
      <c r="E430" s="38"/>
      <c r="F430" s="38"/>
      <c r="G430" s="38"/>
      <c r="H430" s="31">
        <v>234</v>
      </c>
      <c r="I430" s="38">
        <v>172</v>
      </c>
      <c r="J430" s="38"/>
      <c r="K430" s="23">
        <f t="shared" si="12"/>
        <v>406</v>
      </c>
    </row>
    <row r="431" spans="1:11" ht="16.5" thickBot="1">
      <c r="A431" s="18">
        <f t="shared" si="13"/>
        <v>426</v>
      </c>
      <c r="B431" s="37" t="s">
        <v>504</v>
      </c>
      <c r="C431" s="37" t="s">
        <v>505</v>
      </c>
      <c r="D431" s="36" t="s">
        <v>501</v>
      </c>
      <c r="E431" s="38"/>
      <c r="F431" s="38"/>
      <c r="G431" s="38"/>
      <c r="H431" s="31">
        <v>157</v>
      </c>
      <c r="I431" s="38"/>
      <c r="J431" s="38">
        <v>245</v>
      </c>
      <c r="K431" s="23">
        <f t="shared" si="12"/>
        <v>402</v>
      </c>
    </row>
    <row r="432" spans="1:11" ht="16.5" thickBot="1">
      <c r="A432" s="18">
        <f t="shared" si="13"/>
        <v>427</v>
      </c>
      <c r="B432" s="37" t="s">
        <v>217</v>
      </c>
      <c r="C432" s="37" t="s">
        <v>218</v>
      </c>
      <c r="D432" s="36" t="s">
        <v>205</v>
      </c>
      <c r="E432" s="38"/>
      <c r="F432" s="38">
        <v>229</v>
      </c>
      <c r="G432" s="38">
        <v>167</v>
      </c>
      <c r="H432" s="31"/>
      <c r="I432" s="38"/>
      <c r="J432" s="38"/>
      <c r="K432" s="23">
        <f t="shared" si="12"/>
        <v>396</v>
      </c>
    </row>
    <row r="433" spans="1:11" ht="16.5" thickBot="1">
      <c r="A433" s="18">
        <f t="shared" si="13"/>
        <v>428</v>
      </c>
      <c r="B433" s="37" t="s">
        <v>332</v>
      </c>
      <c r="C433" s="37" t="s">
        <v>455</v>
      </c>
      <c r="D433" s="36" t="s">
        <v>452</v>
      </c>
      <c r="E433" s="38"/>
      <c r="F433" s="38"/>
      <c r="G433" s="38"/>
      <c r="H433" s="31"/>
      <c r="I433" s="38">
        <v>182</v>
      </c>
      <c r="J433" s="38">
        <v>202</v>
      </c>
      <c r="K433" s="23">
        <f t="shared" si="12"/>
        <v>384</v>
      </c>
    </row>
    <row r="434" spans="1:11" ht="16.5" thickBot="1">
      <c r="A434" s="18">
        <f t="shared" si="13"/>
        <v>429</v>
      </c>
      <c r="B434" s="37" t="s">
        <v>92</v>
      </c>
      <c r="C434" s="37" t="s">
        <v>437</v>
      </c>
      <c r="D434" s="36" t="s">
        <v>425</v>
      </c>
      <c r="E434" s="38">
        <v>158</v>
      </c>
      <c r="F434" s="38"/>
      <c r="G434" s="38"/>
      <c r="H434" s="31"/>
      <c r="I434" s="38"/>
      <c r="J434" s="38">
        <v>221</v>
      </c>
      <c r="K434" s="23">
        <f t="shared" si="12"/>
        <v>379</v>
      </c>
    </row>
    <row r="435" spans="1:11" ht="16.5" thickBot="1">
      <c r="A435" s="18">
        <f t="shared" si="13"/>
        <v>430</v>
      </c>
      <c r="B435" s="37" t="s">
        <v>385</v>
      </c>
      <c r="C435" s="37" t="s">
        <v>690</v>
      </c>
      <c r="D435" s="36" t="s">
        <v>686</v>
      </c>
      <c r="E435" s="38"/>
      <c r="F435" s="38"/>
      <c r="G435" s="38"/>
      <c r="H435" s="31">
        <v>216</v>
      </c>
      <c r="I435" s="38">
        <v>163</v>
      </c>
      <c r="J435" s="38"/>
      <c r="K435" s="23">
        <f t="shared" si="12"/>
        <v>379</v>
      </c>
    </row>
    <row r="436" spans="1:11" ht="16.5" thickBot="1">
      <c r="A436" s="18">
        <f t="shared" si="13"/>
        <v>431</v>
      </c>
      <c r="B436" s="37" t="s">
        <v>299</v>
      </c>
      <c r="C436" s="37" t="s">
        <v>300</v>
      </c>
      <c r="D436" s="36" t="s">
        <v>295</v>
      </c>
      <c r="E436" s="38"/>
      <c r="F436" s="38"/>
      <c r="G436" s="38"/>
      <c r="H436" s="31"/>
      <c r="I436" s="38">
        <v>139</v>
      </c>
      <c r="J436" s="38">
        <v>233</v>
      </c>
      <c r="K436" s="23">
        <f t="shared" si="12"/>
        <v>372</v>
      </c>
    </row>
    <row r="437" spans="1:11" ht="16.5" thickBot="1">
      <c r="A437" s="18">
        <f t="shared" si="13"/>
        <v>432</v>
      </c>
      <c r="B437" s="37" t="s">
        <v>170</v>
      </c>
      <c r="C437" s="37" t="s">
        <v>181</v>
      </c>
      <c r="D437" s="36" t="s">
        <v>180</v>
      </c>
      <c r="E437" s="38">
        <v>135</v>
      </c>
      <c r="F437" s="38"/>
      <c r="G437" s="38"/>
      <c r="H437" s="31"/>
      <c r="I437" s="38"/>
      <c r="J437" s="38">
        <v>233</v>
      </c>
      <c r="K437" s="23">
        <f t="shared" si="12"/>
        <v>368</v>
      </c>
    </row>
    <row r="438" spans="1:11" ht="16.5" thickBot="1">
      <c r="A438" s="18">
        <f t="shared" si="13"/>
        <v>433</v>
      </c>
      <c r="B438" s="37" t="s">
        <v>66</v>
      </c>
      <c r="C438" s="37" t="s">
        <v>67</v>
      </c>
      <c r="D438" s="36" t="s">
        <v>61</v>
      </c>
      <c r="E438" s="38"/>
      <c r="F438" s="38"/>
      <c r="G438" s="38"/>
      <c r="H438" s="31"/>
      <c r="I438" s="38">
        <v>201</v>
      </c>
      <c r="J438" s="38">
        <v>162</v>
      </c>
      <c r="K438" s="23">
        <f t="shared" si="12"/>
        <v>363</v>
      </c>
    </row>
    <row r="439" spans="1:11" ht="16.5" thickBot="1">
      <c r="A439" s="18">
        <f t="shared" si="13"/>
        <v>434</v>
      </c>
      <c r="B439" s="37" t="s">
        <v>83</v>
      </c>
      <c r="C439" s="37" t="s">
        <v>683</v>
      </c>
      <c r="D439" s="36" t="s">
        <v>675</v>
      </c>
      <c r="E439" s="38">
        <v>138</v>
      </c>
      <c r="F439" s="38"/>
      <c r="G439" s="38"/>
      <c r="H439" s="31"/>
      <c r="I439" s="38"/>
      <c r="J439" s="38">
        <v>222</v>
      </c>
      <c r="K439" s="23">
        <f t="shared" si="12"/>
        <v>360</v>
      </c>
    </row>
    <row r="440" spans="1:11" ht="16.5" thickBot="1">
      <c r="A440" s="18">
        <f t="shared" si="13"/>
        <v>435</v>
      </c>
      <c r="B440" s="37" t="s">
        <v>30</v>
      </c>
      <c r="C440" s="37" t="s">
        <v>579</v>
      </c>
      <c r="D440" s="36" t="s">
        <v>575</v>
      </c>
      <c r="E440" s="38"/>
      <c r="F440" s="38">
        <v>179</v>
      </c>
      <c r="G440" s="38">
        <v>176</v>
      </c>
      <c r="H440" s="31"/>
      <c r="I440" s="38"/>
      <c r="J440" s="38"/>
      <c r="K440" s="23">
        <f t="shared" si="12"/>
        <v>355</v>
      </c>
    </row>
    <row r="441" spans="1:11" ht="16.5" thickBot="1">
      <c r="A441" s="18">
        <f t="shared" si="13"/>
        <v>436</v>
      </c>
      <c r="B441" s="37" t="s">
        <v>355</v>
      </c>
      <c r="C441" s="37" t="s">
        <v>733</v>
      </c>
      <c r="D441" s="36" t="s">
        <v>729</v>
      </c>
      <c r="E441" s="38"/>
      <c r="F441" s="38"/>
      <c r="G441" s="38"/>
      <c r="H441" s="31">
        <v>195</v>
      </c>
      <c r="I441" s="38">
        <v>155</v>
      </c>
      <c r="J441" s="38"/>
      <c r="K441" s="23">
        <f t="shared" si="12"/>
        <v>350</v>
      </c>
    </row>
    <row r="442" spans="1:11" ht="16.5" thickBot="1">
      <c r="A442" s="18">
        <f t="shared" si="13"/>
        <v>437</v>
      </c>
      <c r="B442" s="37" t="s">
        <v>481</v>
      </c>
      <c r="C442" s="37" t="s">
        <v>482</v>
      </c>
      <c r="D442" s="36" t="s">
        <v>479</v>
      </c>
      <c r="E442" s="38">
        <v>202</v>
      </c>
      <c r="F442" s="38">
        <v>147</v>
      </c>
      <c r="G442" s="38"/>
      <c r="H442" s="31"/>
      <c r="I442" s="38"/>
      <c r="J442" s="38"/>
      <c r="K442" s="23">
        <f t="shared" si="12"/>
        <v>349</v>
      </c>
    </row>
    <row r="443" spans="1:11" ht="16.5" thickBot="1">
      <c r="A443" s="18">
        <f t="shared" si="13"/>
        <v>438</v>
      </c>
      <c r="B443" s="37" t="s">
        <v>47</v>
      </c>
      <c r="C443" s="37" t="s">
        <v>48</v>
      </c>
      <c r="D443" s="36" t="s">
        <v>44</v>
      </c>
      <c r="E443" s="38">
        <v>179</v>
      </c>
      <c r="F443" s="38">
        <v>168</v>
      </c>
      <c r="G443" s="38"/>
      <c r="H443" s="31"/>
      <c r="I443" s="38"/>
      <c r="J443" s="38"/>
      <c r="K443" s="23">
        <f t="shared" si="12"/>
        <v>347</v>
      </c>
    </row>
    <row r="444" spans="1:11" ht="16.5" thickBot="1">
      <c r="A444" s="18">
        <f t="shared" si="13"/>
        <v>439</v>
      </c>
      <c r="B444" s="37" t="s">
        <v>21</v>
      </c>
      <c r="C444" s="37" t="s">
        <v>22</v>
      </c>
      <c r="D444" s="36" t="s">
        <v>13</v>
      </c>
      <c r="E444" s="38"/>
      <c r="F444" s="38"/>
      <c r="G444" s="38"/>
      <c r="H444" s="31">
        <v>143</v>
      </c>
      <c r="I444" s="38">
        <v>203</v>
      </c>
      <c r="J444" s="38"/>
      <c r="K444" s="23">
        <f t="shared" si="12"/>
        <v>346</v>
      </c>
    </row>
    <row r="445" spans="1:11" ht="16.5" thickBot="1">
      <c r="A445" s="18">
        <f t="shared" si="13"/>
        <v>440</v>
      </c>
      <c r="B445" s="37" t="s">
        <v>49</v>
      </c>
      <c r="C445" s="37" t="s">
        <v>50</v>
      </c>
      <c r="D445" s="36" t="s">
        <v>44</v>
      </c>
      <c r="E445" s="38">
        <v>151</v>
      </c>
      <c r="F445" s="38"/>
      <c r="G445" s="38"/>
      <c r="H445" s="31"/>
      <c r="I445" s="38"/>
      <c r="J445" s="38">
        <v>191</v>
      </c>
      <c r="K445" s="23">
        <f t="shared" si="12"/>
        <v>342</v>
      </c>
    </row>
    <row r="446" spans="1:11" ht="16.5" thickBot="1">
      <c r="A446" s="18">
        <f t="shared" si="13"/>
        <v>441</v>
      </c>
      <c r="B446" s="37" t="s">
        <v>790</v>
      </c>
      <c r="C446" s="37" t="s">
        <v>791</v>
      </c>
      <c r="D446" s="36" t="s">
        <v>789</v>
      </c>
      <c r="E446" s="38"/>
      <c r="F446" s="38"/>
      <c r="G446" s="38"/>
      <c r="H446" s="31"/>
      <c r="I446" s="38">
        <v>166</v>
      </c>
      <c r="J446" s="38">
        <v>175</v>
      </c>
      <c r="K446" s="23">
        <f t="shared" si="12"/>
        <v>341</v>
      </c>
    </row>
    <row r="447" spans="1:11" ht="16.5" thickBot="1">
      <c r="A447" s="18">
        <f t="shared" si="13"/>
        <v>442</v>
      </c>
      <c r="B447" s="37" t="s">
        <v>605</v>
      </c>
      <c r="C447" s="37" t="s">
        <v>606</v>
      </c>
      <c r="D447" s="36" t="s">
        <v>594</v>
      </c>
      <c r="E447" s="38">
        <v>194</v>
      </c>
      <c r="F447" s="38">
        <v>145</v>
      </c>
      <c r="G447" s="38"/>
      <c r="H447" s="31"/>
      <c r="I447" s="38"/>
      <c r="J447" s="38"/>
      <c r="K447" s="23">
        <f t="shared" si="12"/>
        <v>339</v>
      </c>
    </row>
    <row r="448" spans="1:11" ht="16.5" thickBot="1">
      <c r="A448" s="18">
        <f t="shared" si="13"/>
        <v>443</v>
      </c>
      <c r="B448" s="37" t="s">
        <v>28</v>
      </c>
      <c r="C448" s="37" t="s">
        <v>29</v>
      </c>
      <c r="D448" s="36" t="s">
        <v>27</v>
      </c>
      <c r="E448" s="38"/>
      <c r="F448" s="38"/>
      <c r="G448" s="38">
        <v>162</v>
      </c>
      <c r="H448" s="31">
        <v>175</v>
      </c>
      <c r="I448" s="38"/>
      <c r="J448" s="38"/>
      <c r="K448" s="23">
        <f t="shared" si="12"/>
        <v>337</v>
      </c>
    </row>
    <row r="449" spans="1:11" ht="16.5" thickBot="1">
      <c r="A449" s="18">
        <f t="shared" si="13"/>
        <v>444</v>
      </c>
      <c r="B449" s="37" t="s">
        <v>103</v>
      </c>
      <c r="C449" s="37" t="s">
        <v>104</v>
      </c>
      <c r="D449" s="36" t="s">
        <v>98</v>
      </c>
      <c r="E449" s="38"/>
      <c r="F449" s="38"/>
      <c r="G449" s="38"/>
      <c r="H449" s="31"/>
      <c r="I449" s="38">
        <v>191</v>
      </c>
      <c r="J449" s="38">
        <v>143</v>
      </c>
      <c r="K449" s="23">
        <f t="shared" si="12"/>
        <v>334</v>
      </c>
    </row>
    <row r="450" spans="1:11" ht="16.5" thickBot="1">
      <c r="A450" s="18">
        <f t="shared" si="13"/>
        <v>445</v>
      </c>
      <c r="B450" s="37" t="s">
        <v>291</v>
      </c>
      <c r="C450" s="37" t="s">
        <v>292</v>
      </c>
      <c r="D450" s="36" t="s">
        <v>281</v>
      </c>
      <c r="E450" s="38"/>
      <c r="F450" s="38"/>
      <c r="G450" s="38"/>
      <c r="H450" s="31">
        <v>169</v>
      </c>
      <c r="I450" s="38">
        <v>165</v>
      </c>
      <c r="J450" s="38"/>
      <c r="K450" s="23">
        <f t="shared" si="12"/>
        <v>334</v>
      </c>
    </row>
    <row r="451" spans="1:11" ht="16.5" thickBot="1">
      <c r="A451" s="18">
        <f t="shared" si="13"/>
        <v>446</v>
      </c>
      <c r="B451" s="37" t="s">
        <v>709</v>
      </c>
      <c r="C451" s="37" t="s">
        <v>710</v>
      </c>
      <c r="D451" s="36" t="s">
        <v>703</v>
      </c>
      <c r="E451" s="38"/>
      <c r="F451" s="38"/>
      <c r="G451" s="38"/>
      <c r="H451" s="31"/>
      <c r="I451" s="38">
        <v>154</v>
      </c>
      <c r="J451" s="38">
        <v>177</v>
      </c>
      <c r="K451" s="23">
        <f t="shared" si="12"/>
        <v>331</v>
      </c>
    </row>
    <row r="452" spans="1:11" ht="16.5" thickBot="1">
      <c r="A452" s="18">
        <f t="shared" si="13"/>
        <v>447</v>
      </c>
      <c r="B452" s="37" t="s">
        <v>36</v>
      </c>
      <c r="C452" s="37" t="s">
        <v>724</v>
      </c>
      <c r="D452" s="36" t="s">
        <v>720</v>
      </c>
      <c r="E452" s="38"/>
      <c r="F452" s="38"/>
      <c r="G452" s="38"/>
      <c r="H452" s="31"/>
      <c r="I452" s="38">
        <v>171</v>
      </c>
      <c r="J452" s="38">
        <v>159</v>
      </c>
      <c r="K452" s="23">
        <f t="shared" si="12"/>
        <v>330</v>
      </c>
    </row>
    <row r="453" spans="1:11" ht="16.5" thickBot="1">
      <c r="A453" s="18">
        <f t="shared" si="13"/>
        <v>448</v>
      </c>
      <c r="B453" s="37" t="s">
        <v>99</v>
      </c>
      <c r="C453" s="37" t="s">
        <v>823</v>
      </c>
      <c r="D453" s="36" t="s">
        <v>817</v>
      </c>
      <c r="E453" s="38"/>
      <c r="F453" s="38">
        <v>187</v>
      </c>
      <c r="G453" s="38">
        <v>138</v>
      </c>
      <c r="H453" s="31"/>
      <c r="I453" s="38"/>
      <c r="J453" s="38"/>
      <c r="K453" s="23">
        <f t="shared" si="12"/>
        <v>325</v>
      </c>
    </row>
    <row r="454" spans="1:11" ht="16.5" thickBot="1">
      <c r="A454" s="18">
        <f t="shared" si="13"/>
        <v>449</v>
      </c>
      <c r="B454" s="37" t="s">
        <v>199</v>
      </c>
      <c r="C454" s="37" t="s">
        <v>288</v>
      </c>
      <c r="D454" s="36" t="s">
        <v>281</v>
      </c>
      <c r="E454" s="38"/>
      <c r="F454" s="38"/>
      <c r="G454" s="38">
        <v>167</v>
      </c>
      <c r="H454" s="31">
        <v>156</v>
      </c>
      <c r="I454" s="38"/>
      <c r="J454" s="38"/>
      <c r="K454" s="23">
        <f t="shared" ref="K454:K517" si="14">SUM(E454:J454)</f>
        <v>323</v>
      </c>
    </row>
    <row r="455" spans="1:11" ht="16.5" thickBot="1">
      <c r="A455" s="18">
        <f t="shared" si="13"/>
        <v>450</v>
      </c>
      <c r="B455" s="37" t="s">
        <v>72</v>
      </c>
      <c r="C455" s="37" t="s">
        <v>339</v>
      </c>
      <c r="D455" s="36" t="s">
        <v>331</v>
      </c>
      <c r="E455" s="38">
        <v>132</v>
      </c>
      <c r="F455" s="38"/>
      <c r="G455" s="38"/>
      <c r="H455" s="31"/>
      <c r="I455" s="38"/>
      <c r="J455" s="38">
        <v>191</v>
      </c>
      <c r="K455" s="23">
        <f t="shared" si="14"/>
        <v>323</v>
      </c>
    </row>
    <row r="456" spans="1:11" ht="16.5" thickBot="1">
      <c r="A456" s="18">
        <f t="shared" ref="A456:A519" si="15">A455+1</f>
        <v>451</v>
      </c>
      <c r="B456" s="37" t="s">
        <v>36</v>
      </c>
      <c r="C456" s="37" t="s">
        <v>588</v>
      </c>
      <c r="D456" s="36" t="s">
        <v>584</v>
      </c>
      <c r="E456" s="38"/>
      <c r="F456" s="38"/>
      <c r="G456" s="38">
        <v>146</v>
      </c>
      <c r="H456" s="31"/>
      <c r="I456" s="38"/>
      <c r="J456" s="38">
        <v>170</v>
      </c>
      <c r="K456" s="23">
        <f t="shared" si="14"/>
        <v>316</v>
      </c>
    </row>
    <row r="457" spans="1:11" ht="16.5" thickBot="1">
      <c r="A457" s="18">
        <f t="shared" si="15"/>
        <v>452</v>
      </c>
      <c r="B457" s="37" t="s">
        <v>185</v>
      </c>
      <c r="C457" s="37" t="s">
        <v>186</v>
      </c>
      <c r="D457" s="36" t="s">
        <v>180</v>
      </c>
      <c r="E457" s="38"/>
      <c r="F457" s="38"/>
      <c r="G457" s="38"/>
      <c r="H457" s="31">
        <v>135</v>
      </c>
      <c r="I457" s="38"/>
      <c r="J457" s="38">
        <v>180</v>
      </c>
      <c r="K457" s="23">
        <f t="shared" si="14"/>
        <v>315</v>
      </c>
    </row>
    <row r="458" spans="1:11" ht="16.5" thickBot="1">
      <c r="A458" s="18">
        <f t="shared" si="15"/>
        <v>453</v>
      </c>
      <c r="B458" s="37" t="s">
        <v>111</v>
      </c>
      <c r="C458" s="37" t="s">
        <v>521</v>
      </c>
      <c r="D458" s="36" t="s">
        <v>514</v>
      </c>
      <c r="E458" s="38"/>
      <c r="F458" s="38">
        <v>152</v>
      </c>
      <c r="G458" s="38"/>
      <c r="H458" s="31"/>
      <c r="I458" s="38">
        <v>162</v>
      </c>
      <c r="J458" s="38"/>
      <c r="K458" s="23">
        <f t="shared" si="14"/>
        <v>314</v>
      </c>
    </row>
    <row r="459" spans="1:11" ht="16.5" thickBot="1">
      <c r="A459" s="18">
        <f t="shared" si="15"/>
        <v>454</v>
      </c>
      <c r="B459" s="37" t="s">
        <v>159</v>
      </c>
      <c r="C459" s="37" t="s">
        <v>328</v>
      </c>
      <c r="D459" s="36" t="s">
        <v>318</v>
      </c>
      <c r="E459" s="38">
        <v>133</v>
      </c>
      <c r="F459" s="38"/>
      <c r="G459" s="38"/>
      <c r="H459" s="31"/>
      <c r="I459" s="38"/>
      <c r="J459" s="38">
        <v>171</v>
      </c>
      <c r="K459" s="23">
        <f t="shared" si="14"/>
        <v>304</v>
      </c>
    </row>
    <row r="460" spans="1:11" ht="16.5" thickBot="1">
      <c r="A460" s="18">
        <f t="shared" si="15"/>
        <v>455</v>
      </c>
      <c r="B460" s="37" t="s">
        <v>569</v>
      </c>
      <c r="C460" s="37" t="s">
        <v>570</v>
      </c>
      <c r="D460" s="36" t="s">
        <v>565</v>
      </c>
      <c r="E460" s="38"/>
      <c r="F460" s="38">
        <v>129</v>
      </c>
      <c r="G460" s="38"/>
      <c r="H460" s="31"/>
      <c r="I460" s="38"/>
      <c r="J460" s="38">
        <v>175</v>
      </c>
      <c r="K460" s="23">
        <f t="shared" si="14"/>
        <v>304</v>
      </c>
    </row>
    <row r="461" spans="1:11" ht="16.5" thickBot="1">
      <c r="A461" s="18">
        <f t="shared" si="15"/>
        <v>456</v>
      </c>
      <c r="B461" s="37" t="s">
        <v>840</v>
      </c>
      <c r="C461" s="37" t="s">
        <v>841</v>
      </c>
      <c r="D461" s="36" t="s">
        <v>790</v>
      </c>
      <c r="E461" s="38">
        <v>158</v>
      </c>
      <c r="F461" s="38">
        <v>141</v>
      </c>
      <c r="G461" s="38"/>
      <c r="H461" s="31"/>
      <c r="I461" s="38"/>
      <c r="J461" s="38"/>
      <c r="K461" s="23">
        <f t="shared" si="14"/>
        <v>299</v>
      </c>
    </row>
    <row r="462" spans="1:11" ht="16.5" thickBot="1">
      <c r="A462" s="18">
        <f t="shared" si="15"/>
        <v>457</v>
      </c>
      <c r="B462" s="37" t="s">
        <v>266</v>
      </c>
      <c r="C462" s="37" t="s">
        <v>448</v>
      </c>
      <c r="D462" s="36" t="s">
        <v>438</v>
      </c>
      <c r="E462" s="38">
        <v>181</v>
      </c>
      <c r="F462" s="38">
        <v>113</v>
      </c>
      <c r="G462" s="38"/>
      <c r="H462" s="31"/>
      <c r="I462" s="38"/>
      <c r="J462" s="38"/>
      <c r="K462" s="23">
        <f t="shared" si="14"/>
        <v>294</v>
      </c>
    </row>
    <row r="463" spans="1:11" ht="16.5" thickBot="1">
      <c r="A463" s="18">
        <f t="shared" si="15"/>
        <v>458</v>
      </c>
      <c r="B463" s="37" t="s">
        <v>752</v>
      </c>
      <c r="C463" s="37" t="s">
        <v>753</v>
      </c>
      <c r="D463" s="36" t="s">
        <v>751</v>
      </c>
      <c r="E463" s="38"/>
      <c r="F463" s="38">
        <v>128</v>
      </c>
      <c r="G463" s="38"/>
      <c r="H463" s="31"/>
      <c r="I463" s="38"/>
      <c r="J463" s="38">
        <v>158</v>
      </c>
      <c r="K463" s="23">
        <f t="shared" si="14"/>
        <v>286</v>
      </c>
    </row>
    <row r="464" spans="1:11" ht="16.5" thickBot="1">
      <c r="A464" s="18">
        <f t="shared" si="15"/>
        <v>459</v>
      </c>
      <c r="B464" s="37" t="s">
        <v>569</v>
      </c>
      <c r="C464" s="37" t="s">
        <v>743</v>
      </c>
      <c r="D464" s="36" t="s">
        <v>741</v>
      </c>
      <c r="E464" s="38">
        <v>141</v>
      </c>
      <c r="F464" s="38">
        <v>133</v>
      </c>
      <c r="G464" s="38"/>
      <c r="H464" s="31"/>
      <c r="I464" s="38"/>
      <c r="J464" s="38"/>
      <c r="K464" s="23">
        <f t="shared" si="14"/>
        <v>274</v>
      </c>
    </row>
    <row r="465" spans="1:11" ht="16.5" thickBot="1">
      <c r="A465" s="18">
        <f t="shared" si="15"/>
        <v>460</v>
      </c>
      <c r="B465" s="37" t="s">
        <v>416</v>
      </c>
      <c r="C465" s="37" t="s">
        <v>417</v>
      </c>
      <c r="D465" s="36" t="s">
        <v>413</v>
      </c>
      <c r="E465" s="38">
        <v>135</v>
      </c>
      <c r="F465" s="38">
        <v>127</v>
      </c>
      <c r="G465" s="38"/>
      <c r="H465" s="31"/>
      <c r="I465" s="38"/>
      <c r="J465" s="38"/>
      <c r="K465" s="23">
        <f t="shared" si="14"/>
        <v>262</v>
      </c>
    </row>
    <row r="466" spans="1:11" ht="16.5" thickBot="1">
      <c r="A466" s="18">
        <f t="shared" si="15"/>
        <v>461</v>
      </c>
      <c r="B466" s="37" t="s">
        <v>493</v>
      </c>
      <c r="C466" s="37" t="s">
        <v>525</v>
      </c>
      <c r="D466" s="36" t="s">
        <v>514</v>
      </c>
      <c r="E466" s="38"/>
      <c r="F466" s="38"/>
      <c r="G466" s="38"/>
      <c r="H466" s="31"/>
      <c r="I466" s="38"/>
      <c r="J466" s="38">
        <v>237</v>
      </c>
      <c r="K466" s="23">
        <f t="shared" si="14"/>
        <v>237</v>
      </c>
    </row>
    <row r="467" spans="1:11" ht="16.5" thickBot="1">
      <c r="A467" s="18">
        <f t="shared" si="15"/>
        <v>462</v>
      </c>
      <c r="B467" s="37" t="s">
        <v>236</v>
      </c>
      <c r="C467" s="37" t="s">
        <v>237</v>
      </c>
      <c r="D467" s="36" t="s">
        <v>231</v>
      </c>
      <c r="E467" s="38"/>
      <c r="F467" s="38"/>
      <c r="G467" s="38"/>
      <c r="H467" s="31"/>
      <c r="I467" s="38"/>
      <c r="J467" s="38">
        <v>235</v>
      </c>
      <c r="K467" s="23">
        <f t="shared" si="14"/>
        <v>235</v>
      </c>
    </row>
    <row r="468" spans="1:11" ht="16.5" thickBot="1">
      <c r="A468" s="18">
        <f t="shared" si="15"/>
        <v>463</v>
      </c>
      <c r="B468" s="37" t="s">
        <v>23</v>
      </c>
      <c r="C468" s="37" t="s">
        <v>461</v>
      </c>
      <c r="D468" s="36" t="s">
        <v>452</v>
      </c>
      <c r="E468" s="38"/>
      <c r="F468" s="38"/>
      <c r="G468" s="38"/>
      <c r="H468" s="31"/>
      <c r="I468" s="38"/>
      <c r="J468" s="38">
        <v>223</v>
      </c>
      <c r="K468" s="23">
        <f t="shared" si="14"/>
        <v>223</v>
      </c>
    </row>
    <row r="469" spans="1:11" ht="16.5" thickBot="1">
      <c r="A469" s="18">
        <f t="shared" si="15"/>
        <v>464</v>
      </c>
      <c r="B469" s="37" t="s">
        <v>863</v>
      </c>
      <c r="C469" s="37" t="s">
        <v>864</v>
      </c>
      <c r="D469" s="36" t="s">
        <v>856</v>
      </c>
      <c r="E469" s="38"/>
      <c r="F469" s="38"/>
      <c r="G469" s="38"/>
      <c r="H469" s="31"/>
      <c r="I469" s="38"/>
      <c r="J469" s="38">
        <v>205</v>
      </c>
      <c r="K469" s="23">
        <f t="shared" si="14"/>
        <v>205</v>
      </c>
    </row>
    <row r="470" spans="1:11" ht="16.5" thickBot="1">
      <c r="A470" s="18">
        <f t="shared" si="15"/>
        <v>465</v>
      </c>
      <c r="B470" s="37" t="s">
        <v>718</v>
      </c>
      <c r="C470" s="37" t="s">
        <v>137</v>
      </c>
      <c r="D470" s="36" t="s">
        <v>713</v>
      </c>
      <c r="E470" s="38"/>
      <c r="F470" s="38">
        <v>200</v>
      </c>
      <c r="G470" s="38"/>
      <c r="H470" s="31"/>
      <c r="I470" s="38"/>
      <c r="J470" s="38"/>
      <c r="K470" s="23">
        <f t="shared" si="14"/>
        <v>200</v>
      </c>
    </row>
    <row r="471" spans="1:11" ht="16.5" thickBot="1">
      <c r="A471" s="18">
        <f t="shared" si="15"/>
        <v>466</v>
      </c>
      <c r="B471" s="37" t="s">
        <v>834</v>
      </c>
      <c r="C471" s="37" t="s">
        <v>835</v>
      </c>
      <c r="D471" s="36" t="s">
        <v>827</v>
      </c>
      <c r="E471" s="38">
        <v>193</v>
      </c>
      <c r="F471" s="38"/>
      <c r="G471" s="38"/>
      <c r="H471" s="31"/>
      <c r="I471" s="38"/>
      <c r="J471" s="38"/>
      <c r="K471" s="23">
        <f t="shared" si="14"/>
        <v>193</v>
      </c>
    </row>
    <row r="472" spans="1:11" ht="16.5" thickBot="1">
      <c r="A472" s="18">
        <f t="shared" si="15"/>
        <v>467</v>
      </c>
      <c r="B472" s="37" t="s">
        <v>522</v>
      </c>
      <c r="C472" s="37" t="s">
        <v>523</v>
      </c>
      <c r="D472" s="36" t="s">
        <v>514</v>
      </c>
      <c r="E472" s="38"/>
      <c r="F472" s="38"/>
      <c r="G472" s="38"/>
      <c r="H472" s="31"/>
      <c r="I472" s="38"/>
      <c r="J472" s="38">
        <v>190</v>
      </c>
      <c r="K472" s="23">
        <f t="shared" si="14"/>
        <v>190</v>
      </c>
    </row>
    <row r="473" spans="1:11" ht="16.5" thickBot="1">
      <c r="A473" s="18">
        <f t="shared" si="15"/>
        <v>468</v>
      </c>
      <c r="B473" s="37" t="s">
        <v>59</v>
      </c>
      <c r="C473" s="37" t="s">
        <v>583</v>
      </c>
      <c r="D473" s="36" t="s">
        <v>575</v>
      </c>
      <c r="E473" s="38"/>
      <c r="F473" s="38"/>
      <c r="G473" s="38"/>
      <c r="H473" s="31"/>
      <c r="I473" s="38"/>
      <c r="J473" s="38">
        <v>190</v>
      </c>
      <c r="K473" s="23">
        <f t="shared" si="14"/>
        <v>190</v>
      </c>
    </row>
    <row r="474" spans="1:11" ht="16.5" thickBot="1">
      <c r="A474" s="18">
        <f t="shared" si="15"/>
        <v>469</v>
      </c>
      <c r="B474" s="37" t="s">
        <v>260</v>
      </c>
      <c r="C474" s="37" t="s">
        <v>261</v>
      </c>
      <c r="D474" s="36" t="s">
        <v>247</v>
      </c>
      <c r="E474" s="38"/>
      <c r="F474" s="38"/>
      <c r="G474" s="38">
        <v>186</v>
      </c>
      <c r="H474" s="31"/>
      <c r="I474" s="38"/>
      <c r="J474" s="38"/>
      <c r="K474" s="23">
        <f t="shared" si="14"/>
        <v>186</v>
      </c>
    </row>
    <row r="475" spans="1:11" ht="16.5" thickBot="1">
      <c r="A475" s="18">
        <f t="shared" si="15"/>
        <v>470</v>
      </c>
      <c r="B475" s="37" t="s">
        <v>358</v>
      </c>
      <c r="C475" s="37" t="s">
        <v>359</v>
      </c>
      <c r="D475" s="36" t="s">
        <v>353</v>
      </c>
      <c r="E475" s="38"/>
      <c r="F475" s="38"/>
      <c r="G475" s="38"/>
      <c r="H475" s="31"/>
      <c r="I475" s="38">
        <v>183</v>
      </c>
      <c r="J475" s="38"/>
      <c r="K475" s="23">
        <f t="shared" si="14"/>
        <v>183</v>
      </c>
    </row>
    <row r="476" spans="1:11" ht="16.5" thickBot="1">
      <c r="A476" s="18">
        <f t="shared" si="15"/>
        <v>471</v>
      </c>
      <c r="B476" s="37" t="s">
        <v>475</v>
      </c>
      <c r="C476" s="37" t="s">
        <v>476</v>
      </c>
      <c r="D476" s="36" t="s">
        <v>464</v>
      </c>
      <c r="E476" s="38"/>
      <c r="F476" s="38"/>
      <c r="G476" s="38"/>
      <c r="H476" s="31">
        <v>176</v>
      </c>
      <c r="I476" s="38"/>
      <c r="J476" s="38"/>
      <c r="K476" s="23">
        <f t="shared" si="14"/>
        <v>176</v>
      </c>
    </row>
    <row r="477" spans="1:11" ht="16.5" thickBot="1">
      <c r="A477" s="18">
        <f t="shared" si="15"/>
        <v>472</v>
      </c>
      <c r="B477" s="37" t="s">
        <v>159</v>
      </c>
      <c r="C477" s="37" t="s">
        <v>833</v>
      </c>
      <c r="D477" s="36" t="s">
        <v>827</v>
      </c>
      <c r="E477" s="38"/>
      <c r="F477" s="38"/>
      <c r="G477" s="38"/>
      <c r="H477" s="31">
        <v>175</v>
      </c>
      <c r="I477" s="38"/>
      <c r="J477" s="38"/>
      <c r="K477" s="23">
        <f t="shared" si="14"/>
        <v>175</v>
      </c>
    </row>
    <row r="478" spans="1:11" ht="16.5" thickBot="1">
      <c r="A478" s="18">
        <f t="shared" si="15"/>
        <v>473</v>
      </c>
      <c r="B478" s="37" t="s">
        <v>105</v>
      </c>
      <c r="C478" s="37" t="s">
        <v>716</v>
      </c>
      <c r="D478" s="36" t="s">
        <v>713</v>
      </c>
      <c r="E478" s="38"/>
      <c r="F478" s="38"/>
      <c r="G478" s="38">
        <v>173</v>
      </c>
      <c r="H478" s="31"/>
      <c r="I478" s="38"/>
      <c r="J478" s="38"/>
      <c r="K478" s="23">
        <f t="shared" si="14"/>
        <v>173</v>
      </c>
    </row>
    <row r="479" spans="1:11" ht="16.5" thickBot="1">
      <c r="A479" s="18">
        <f t="shared" si="15"/>
        <v>474</v>
      </c>
      <c r="B479" s="37" t="s">
        <v>326</v>
      </c>
      <c r="C479" s="37" t="s">
        <v>427</v>
      </c>
      <c r="D479" s="36" t="s">
        <v>425</v>
      </c>
      <c r="E479" s="38"/>
      <c r="F479" s="38"/>
      <c r="G479" s="38"/>
      <c r="H479" s="31"/>
      <c r="I479" s="38"/>
      <c r="J479" s="38">
        <v>169</v>
      </c>
      <c r="K479" s="23">
        <f t="shared" si="14"/>
        <v>169</v>
      </c>
    </row>
    <row r="480" spans="1:11" ht="16.5" thickBot="1">
      <c r="A480" s="18">
        <f t="shared" si="15"/>
        <v>475</v>
      </c>
      <c r="B480" s="37" t="s">
        <v>219</v>
      </c>
      <c r="C480" s="37" t="s">
        <v>209</v>
      </c>
      <c r="D480" s="36" t="s">
        <v>205</v>
      </c>
      <c r="E480" s="38"/>
      <c r="F480" s="38"/>
      <c r="G480" s="38"/>
      <c r="H480" s="31"/>
      <c r="I480" s="38"/>
      <c r="J480" s="38">
        <v>168</v>
      </c>
      <c r="K480" s="23">
        <f t="shared" si="14"/>
        <v>168</v>
      </c>
    </row>
    <row r="481" spans="1:11" ht="16.5" thickBot="1">
      <c r="A481" s="18">
        <f t="shared" si="15"/>
        <v>476</v>
      </c>
      <c r="B481" s="37" t="s">
        <v>25</v>
      </c>
      <c r="C481" s="37" t="s">
        <v>26</v>
      </c>
      <c r="D481" s="36" t="s">
        <v>13</v>
      </c>
      <c r="E481" s="38"/>
      <c r="F481" s="38"/>
      <c r="G481" s="38">
        <v>165</v>
      </c>
      <c r="H481" s="31"/>
      <c r="I481" s="38"/>
      <c r="J481" s="38"/>
      <c r="K481" s="23">
        <f t="shared" si="14"/>
        <v>165</v>
      </c>
    </row>
    <row r="482" spans="1:11" ht="16.5" thickBot="1">
      <c r="A482" s="18">
        <f t="shared" si="15"/>
        <v>477</v>
      </c>
      <c r="B482" s="37" t="s">
        <v>469</v>
      </c>
      <c r="C482" s="37" t="s">
        <v>470</v>
      </c>
      <c r="D482" s="36" t="s">
        <v>464</v>
      </c>
      <c r="E482" s="38"/>
      <c r="F482" s="38"/>
      <c r="G482" s="38"/>
      <c r="H482" s="31">
        <v>165</v>
      </c>
      <c r="I482" s="38"/>
      <c r="J482" s="38"/>
      <c r="K482" s="23">
        <f t="shared" si="14"/>
        <v>165</v>
      </c>
    </row>
    <row r="483" spans="1:11" ht="16.5" thickBot="1">
      <c r="A483" s="18">
        <f t="shared" si="15"/>
        <v>478</v>
      </c>
      <c r="B483" s="37" t="s">
        <v>170</v>
      </c>
      <c r="C483" s="37" t="s">
        <v>877</v>
      </c>
      <c r="D483" s="36" t="s">
        <v>875</v>
      </c>
      <c r="E483" s="38"/>
      <c r="F483" s="38"/>
      <c r="G483" s="38">
        <v>165</v>
      </c>
      <c r="H483" s="31"/>
      <c r="I483" s="38"/>
      <c r="J483" s="38"/>
      <c r="K483" s="23">
        <f t="shared" si="14"/>
        <v>165</v>
      </c>
    </row>
    <row r="484" spans="1:11" ht="16.5" thickBot="1">
      <c r="A484" s="18">
        <f t="shared" si="15"/>
        <v>479</v>
      </c>
      <c r="B484" s="37" t="s">
        <v>116</v>
      </c>
      <c r="C484" s="37" t="s">
        <v>155</v>
      </c>
      <c r="D484" s="36" t="s">
        <v>154</v>
      </c>
      <c r="E484" s="38">
        <v>163</v>
      </c>
      <c r="F484" s="38"/>
      <c r="G484" s="38"/>
      <c r="H484" s="31"/>
      <c r="I484" s="38"/>
      <c r="J484" s="38"/>
      <c r="K484" s="23">
        <f t="shared" si="14"/>
        <v>163</v>
      </c>
    </row>
    <row r="485" spans="1:11" ht="16.5" thickBot="1">
      <c r="A485" s="18">
        <f t="shared" si="15"/>
        <v>480</v>
      </c>
      <c r="B485" s="37" t="s">
        <v>248</v>
      </c>
      <c r="C485" s="37" t="s">
        <v>249</v>
      </c>
      <c r="D485" s="36" t="s">
        <v>247</v>
      </c>
      <c r="E485" s="38"/>
      <c r="F485" s="38">
        <v>163</v>
      </c>
      <c r="G485" s="38"/>
      <c r="H485" s="31"/>
      <c r="I485" s="38"/>
      <c r="J485" s="38"/>
      <c r="K485" s="23">
        <f t="shared" si="14"/>
        <v>163</v>
      </c>
    </row>
    <row r="486" spans="1:11" ht="16.5" thickBot="1">
      <c r="A486" s="18">
        <f t="shared" si="15"/>
        <v>481</v>
      </c>
      <c r="B486" s="37" t="s">
        <v>462</v>
      </c>
      <c r="C486" s="37" t="s">
        <v>463</v>
      </c>
      <c r="D486" s="36" t="s">
        <v>452</v>
      </c>
      <c r="E486" s="38"/>
      <c r="F486" s="38"/>
      <c r="G486" s="38">
        <v>162</v>
      </c>
      <c r="H486" s="31"/>
      <c r="I486" s="38"/>
      <c r="J486" s="38"/>
      <c r="K486" s="23">
        <f t="shared" si="14"/>
        <v>162</v>
      </c>
    </row>
    <row r="487" spans="1:11" ht="16.5" thickBot="1">
      <c r="A487" s="18">
        <f t="shared" si="15"/>
        <v>482</v>
      </c>
      <c r="B487" s="37" t="s">
        <v>484</v>
      </c>
      <c r="C487" s="37" t="s">
        <v>485</v>
      </c>
      <c r="D487" s="36" t="s">
        <v>479</v>
      </c>
      <c r="E487" s="38"/>
      <c r="F487" s="38"/>
      <c r="G487" s="38"/>
      <c r="H487" s="31"/>
      <c r="I487" s="38"/>
      <c r="J487" s="38">
        <v>162</v>
      </c>
      <c r="K487" s="23">
        <f t="shared" si="14"/>
        <v>162</v>
      </c>
    </row>
    <row r="488" spans="1:11" ht="16.5" thickBot="1">
      <c r="A488" s="18">
        <f t="shared" si="15"/>
        <v>483</v>
      </c>
      <c r="B488" s="37" t="s">
        <v>59</v>
      </c>
      <c r="C488" s="37" t="s">
        <v>60</v>
      </c>
      <c r="D488" s="36" t="s">
        <v>44</v>
      </c>
      <c r="E488" s="38"/>
      <c r="F488" s="38">
        <v>160</v>
      </c>
      <c r="G488" s="38"/>
      <c r="H488" s="31"/>
      <c r="I488" s="38"/>
      <c r="J488" s="38"/>
      <c r="K488" s="23">
        <f t="shared" si="14"/>
        <v>160</v>
      </c>
    </row>
    <row r="489" spans="1:11" ht="16.5" thickBot="1">
      <c r="A489" s="18">
        <f t="shared" si="15"/>
        <v>484</v>
      </c>
      <c r="B489" s="37" t="s">
        <v>128</v>
      </c>
      <c r="C489" s="37" t="s">
        <v>129</v>
      </c>
      <c r="D489" s="36" t="s">
        <v>127</v>
      </c>
      <c r="E489" s="38">
        <v>160</v>
      </c>
      <c r="F489" s="38"/>
      <c r="G489" s="38"/>
      <c r="H489" s="31"/>
      <c r="I489" s="38"/>
      <c r="J489" s="38"/>
      <c r="K489" s="23">
        <f t="shared" si="14"/>
        <v>160</v>
      </c>
    </row>
    <row r="490" spans="1:11" ht="16.5" thickBot="1">
      <c r="A490" s="18">
        <f t="shared" si="15"/>
        <v>485</v>
      </c>
      <c r="B490" s="37" t="s">
        <v>320</v>
      </c>
      <c r="C490" s="37" t="s">
        <v>652</v>
      </c>
      <c r="D490" s="36" t="s">
        <v>643</v>
      </c>
      <c r="E490" s="38"/>
      <c r="F490" s="38"/>
      <c r="G490" s="38"/>
      <c r="H490" s="31">
        <v>157</v>
      </c>
      <c r="I490" s="38"/>
      <c r="J490" s="38"/>
      <c r="K490" s="23">
        <f t="shared" si="14"/>
        <v>157</v>
      </c>
    </row>
    <row r="491" spans="1:11" ht="16.5" thickBot="1">
      <c r="A491" s="18">
        <f t="shared" si="15"/>
        <v>486</v>
      </c>
      <c r="B491" s="37" t="s">
        <v>736</v>
      </c>
      <c r="C491" s="37" t="s">
        <v>737</v>
      </c>
      <c r="D491" s="36" t="s">
        <v>729</v>
      </c>
      <c r="E491" s="38"/>
      <c r="F491" s="38"/>
      <c r="G491" s="38">
        <v>157</v>
      </c>
      <c r="H491" s="31"/>
      <c r="I491" s="38"/>
      <c r="J491" s="38"/>
      <c r="K491" s="23">
        <f t="shared" si="14"/>
        <v>157</v>
      </c>
    </row>
    <row r="492" spans="1:11" ht="16.5" thickBot="1">
      <c r="A492" s="18">
        <f t="shared" si="15"/>
        <v>487</v>
      </c>
      <c r="B492" s="37" t="s">
        <v>94</v>
      </c>
      <c r="C492" s="37" t="s">
        <v>780</v>
      </c>
      <c r="D492" s="36" t="s">
        <v>772</v>
      </c>
      <c r="E492" s="38"/>
      <c r="F492" s="38"/>
      <c r="G492" s="38"/>
      <c r="H492" s="31"/>
      <c r="I492" s="38">
        <v>157</v>
      </c>
      <c r="J492" s="38"/>
      <c r="K492" s="23">
        <f t="shared" si="14"/>
        <v>157</v>
      </c>
    </row>
    <row r="493" spans="1:11" ht="16.5" thickBot="1">
      <c r="A493" s="18">
        <f t="shared" si="15"/>
        <v>488</v>
      </c>
      <c r="B493" s="37" t="s">
        <v>42</v>
      </c>
      <c r="C493" s="37" t="s">
        <v>43</v>
      </c>
      <c r="D493" s="36" t="s">
        <v>27</v>
      </c>
      <c r="E493" s="38">
        <v>156</v>
      </c>
      <c r="F493" s="38"/>
      <c r="G493" s="38"/>
      <c r="H493" s="31"/>
      <c r="I493" s="38"/>
      <c r="J493" s="38"/>
      <c r="K493" s="23">
        <f t="shared" si="14"/>
        <v>156</v>
      </c>
    </row>
    <row r="494" spans="1:11" ht="16.5" thickBot="1">
      <c r="A494" s="18">
        <f t="shared" si="15"/>
        <v>489</v>
      </c>
      <c r="B494" s="37" t="s">
        <v>473</v>
      </c>
      <c r="C494" s="37" t="s">
        <v>641</v>
      </c>
      <c r="D494" s="36" t="s">
        <v>636</v>
      </c>
      <c r="E494" s="38"/>
      <c r="F494" s="38">
        <v>156</v>
      </c>
      <c r="G494" s="38"/>
      <c r="H494" s="31"/>
      <c r="I494" s="38"/>
      <c r="J494" s="38"/>
      <c r="K494" s="23">
        <f t="shared" si="14"/>
        <v>156</v>
      </c>
    </row>
    <row r="495" spans="1:11" ht="16.5" thickBot="1">
      <c r="A495" s="18">
        <f t="shared" si="15"/>
        <v>490</v>
      </c>
      <c r="B495" s="37" t="s">
        <v>28</v>
      </c>
      <c r="C495" s="37" t="s">
        <v>176</v>
      </c>
      <c r="D495" s="36" t="s">
        <v>167</v>
      </c>
      <c r="E495" s="38">
        <v>155</v>
      </c>
      <c r="F495" s="38"/>
      <c r="G495" s="38"/>
      <c r="H495" s="31"/>
      <c r="I495" s="38"/>
      <c r="J495" s="38"/>
      <c r="K495" s="23">
        <f t="shared" si="14"/>
        <v>155</v>
      </c>
    </row>
    <row r="496" spans="1:11" ht="16.5" thickBot="1">
      <c r="A496" s="18">
        <f t="shared" si="15"/>
        <v>491</v>
      </c>
      <c r="B496" s="37" t="s">
        <v>313</v>
      </c>
      <c r="C496" s="37" t="s">
        <v>314</v>
      </c>
      <c r="D496" s="36" t="s">
        <v>304</v>
      </c>
      <c r="E496" s="38"/>
      <c r="F496" s="38"/>
      <c r="G496" s="38">
        <v>155</v>
      </c>
      <c r="H496" s="31"/>
      <c r="I496" s="38"/>
      <c r="J496" s="38"/>
      <c r="K496" s="23">
        <f t="shared" si="14"/>
        <v>155</v>
      </c>
    </row>
    <row r="497" spans="1:11" ht="16.5" thickBot="1">
      <c r="A497" s="18">
        <f t="shared" si="15"/>
        <v>492</v>
      </c>
      <c r="B497" s="37" t="s">
        <v>101</v>
      </c>
      <c r="C497" s="37" t="s">
        <v>102</v>
      </c>
      <c r="D497" s="36" t="s">
        <v>98</v>
      </c>
      <c r="E497" s="38"/>
      <c r="F497" s="38"/>
      <c r="G497" s="38"/>
      <c r="H497" s="31"/>
      <c r="I497" s="38"/>
      <c r="J497" s="38">
        <v>152</v>
      </c>
      <c r="K497" s="23">
        <f t="shared" si="14"/>
        <v>152</v>
      </c>
    </row>
    <row r="498" spans="1:11" ht="16.5" thickBot="1">
      <c r="A498" s="18">
        <f t="shared" si="15"/>
        <v>493</v>
      </c>
      <c r="B498" s="37" t="s">
        <v>684</v>
      </c>
      <c r="C498" s="37" t="s">
        <v>685</v>
      </c>
      <c r="D498" s="36" t="s">
        <v>675</v>
      </c>
      <c r="E498" s="38">
        <v>150</v>
      </c>
      <c r="F498" s="38"/>
      <c r="G498" s="38"/>
      <c r="H498" s="31"/>
      <c r="I498" s="38"/>
      <c r="J498" s="38"/>
      <c r="K498" s="23">
        <f t="shared" si="14"/>
        <v>150</v>
      </c>
    </row>
    <row r="499" spans="1:11" ht="16.5" thickBot="1">
      <c r="A499" s="18">
        <f t="shared" si="15"/>
        <v>494</v>
      </c>
      <c r="B499" s="37" t="s">
        <v>761</v>
      </c>
      <c r="C499" s="37" t="s">
        <v>762</v>
      </c>
      <c r="D499" s="36" t="s">
        <v>751</v>
      </c>
      <c r="E499" s="38"/>
      <c r="F499" s="38">
        <v>150</v>
      </c>
      <c r="G499" s="38"/>
      <c r="H499" s="31"/>
      <c r="I499" s="38"/>
      <c r="J499" s="38"/>
      <c r="K499" s="23">
        <f t="shared" si="14"/>
        <v>150</v>
      </c>
    </row>
    <row r="500" spans="1:11" ht="16.5" thickBot="1">
      <c r="A500" s="18">
        <f t="shared" si="15"/>
        <v>495</v>
      </c>
      <c r="B500" s="37" t="s">
        <v>59</v>
      </c>
      <c r="C500" s="37" t="s">
        <v>372</v>
      </c>
      <c r="D500" s="36" t="s">
        <v>363</v>
      </c>
      <c r="E500" s="38"/>
      <c r="F500" s="38">
        <v>149</v>
      </c>
      <c r="G500" s="38"/>
      <c r="H500" s="31"/>
      <c r="I500" s="38"/>
      <c r="J500" s="38"/>
      <c r="K500" s="23">
        <f t="shared" si="14"/>
        <v>149</v>
      </c>
    </row>
    <row r="501" spans="1:11" ht="16.5" thickBot="1">
      <c r="A501" s="18">
        <f t="shared" si="15"/>
        <v>496</v>
      </c>
      <c r="B501" s="37" t="s">
        <v>376</v>
      </c>
      <c r="C501" s="37" t="s">
        <v>723</v>
      </c>
      <c r="D501" s="36" t="s">
        <v>856</v>
      </c>
      <c r="E501" s="38"/>
      <c r="F501" s="38">
        <v>148</v>
      </c>
      <c r="G501" s="38"/>
      <c r="H501" s="31"/>
      <c r="I501" s="38"/>
      <c r="J501" s="38"/>
      <c r="K501" s="23">
        <f t="shared" si="14"/>
        <v>148</v>
      </c>
    </row>
    <row r="502" spans="1:11" ht="16.5" thickBot="1">
      <c r="A502" s="18">
        <f t="shared" si="15"/>
        <v>497</v>
      </c>
      <c r="B502" s="37" t="s">
        <v>322</v>
      </c>
      <c r="C502" s="37" t="s">
        <v>360</v>
      </c>
      <c r="D502" s="36" t="s">
        <v>353</v>
      </c>
      <c r="E502" s="38"/>
      <c r="F502" s="38"/>
      <c r="G502" s="38"/>
      <c r="H502" s="31"/>
      <c r="I502" s="38">
        <v>146</v>
      </c>
      <c r="J502" s="38"/>
      <c r="K502" s="23">
        <f t="shared" si="14"/>
        <v>146</v>
      </c>
    </row>
    <row r="503" spans="1:11" ht="16.5" thickBot="1">
      <c r="A503" s="18">
        <f t="shared" si="15"/>
        <v>498</v>
      </c>
      <c r="B503" s="37" t="s">
        <v>70</v>
      </c>
      <c r="C503" s="37" t="s">
        <v>552</v>
      </c>
      <c r="D503" s="36" t="s">
        <v>547</v>
      </c>
      <c r="E503" s="38">
        <v>145</v>
      </c>
      <c r="F503" s="38"/>
      <c r="G503" s="38"/>
      <c r="H503" s="31"/>
      <c r="I503" s="38"/>
      <c r="J503" s="38"/>
      <c r="K503" s="23">
        <f t="shared" si="14"/>
        <v>145</v>
      </c>
    </row>
    <row r="504" spans="1:11" ht="16.5" thickBot="1">
      <c r="A504" s="18">
        <f t="shared" si="15"/>
        <v>499</v>
      </c>
      <c r="B504" s="37" t="s">
        <v>159</v>
      </c>
      <c r="C504" s="37" t="s">
        <v>160</v>
      </c>
      <c r="D504" s="36" t="s">
        <v>154</v>
      </c>
      <c r="E504" s="38"/>
      <c r="F504" s="38">
        <v>142</v>
      </c>
      <c r="G504" s="38"/>
      <c r="H504" s="31"/>
      <c r="I504" s="38"/>
      <c r="J504" s="38"/>
      <c r="K504" s="23">
        <f t="shared" si="14"/>
        <v>142</v>
      </c>
    </row>
    <row r="505" spans="1:11" ht="16.5" thickBot="1">
      <c r="A505" s="18">
        <f t="shared" si="15"/>
        <v>500</v>
      </c>
      <c r="B505" s="37" t="s">
        <v>385</v>
      </c>
      <c r="C505" s="37" t="s">
        <v>386</v>
      </c>
      <c r="D505" s="36" t="s">
        <v>373</v>
      </c>
      <c r="E505" s="38"/>
      <c r="F505" s="38">
        <v>139</v>
      </c>
      <c r="G505" s="38"/>
      <c r="H505" s="31"/>
      <c r="I505" s="38"/>
      <c r="J505" s="38"/>
      <c r="K505" s="23">
        <f t="shared" si="14"/>
        <v>139</v>
      </c>
    </row>
    <row r="506" spans="1:11" ht="16.5" thickBot="1">
      <c r="A506" s="18">
        <f t="shared" si="15"/>
        <v>501</v>
      </c>
      <c r="B506" s="37" t="s">
        <v>182</v>
      </c>
      <c r="C506" s="37" t="s">
        <v>285</v>
      </c>
      <c r="D506" s="36" t="s">
        <v>281</v>
      </c>
      <c r="E506" s="38"/>
      <c r="F506" s="38"/>
      <c r="G506" s="38">
        <v>136</v>
      </c>
      <c r="H506" s="31"/>
      <c r="I506" s="38"/>
      <c r="J506" s="38"/>
      <c r="K506" s="23">
        <f t="shared" si="14"/>
        <v>136</v>
      </c>
    </row>
    <row r="507" spans="1:11" ht="16.5" thickBot="1">
      <c r="A507" s="18">
        <f t="shared" si="15"/>
        <v>502</v>
      </c>
      <c r="B507" s="37" t="s">
        <v>645</v>
      </c>
      <c r="C507" s="37" t="s">
        <v>646</v>
      </c>
      <c r="D507" s="36" t="s">
        <v>643</v>
      </c>
      <c r="E507" s="38"/>
      <c r="F507" s="38"/>
      <c r="G507" s="38">
        <v>136</v>
      </c>
      <c r="H507" s="31"/>
      <c r="I507" s="38"/>
      <c r="J507" s="38"/>
      <c r="K507" s="23">
        <f t="shared" si="14"/>
        <v>136</v>
      </c>
    </row>
    <row r="508" spans="1:11" ht="16.5" thickBot="1">
      <c r="A508" s="18">
        <f t="shared" si="15"/>
        <v>503</v>
      </c>
      <c r="B508" s="37" t="s">
        <v>307</v>
      </c>
      <c r="C508" s="37" t="s">
        <v>308</v>
      </c>
      <c r="D508" s="36" t="s">
        <v>304</v>
      </c>
      <c r="E508" s="38"/>
      <c r="F508" s="38">
        <v>129</v>
      </c>
      <c r="G508" s="38"/>
      <c r="H508" s="31"/>
      <c r="I508" s="38"/>
      <c r="J508" s="38"/>
      <c r="K508" s="23">
        <f t="shared" si="14"/>
        <v>129</v>
      </c>
    </row>
    <row r="509" spans="1:11" ht="16.5" thickBot="1">
      <c r="A509" s="18">
        <f t="shared" si="15"/>
        <v>504</v>
      </c>
      <c r="B509" s="37" t="s">
        <v>493</v>
      </c>
      <c r="C509" s="37" t="s">
        <v>494</v>
      </c>
      <c r="D509" s="36" t="s">
        <v>490</v>
      </c>
      <c r="E509" s="38"/>
      <c r="F509" s="38"/>
      <c r="G509" s="38">
        <v>129</v>
      </c>
      <c r="H509" s="31"/>
      <c r="I509" s="38"/>
      <c r="J509" s="38"/>
      <c r="K509" s="23">
        <f t="shared" si="14"/>
        <v>129</v>
      </c>
    </row>
    <row r="510" spans="1:11" ht="16.5" thickBot="1">
      <c r="A510" s="18">
        <f t="shared" si="15"/>
        <v>505</v>
      </c>
      <c r="B510" s="37" t="s">
        <v>226</v>
      </c>
      <c r="C510" s="37" t="s">
        <v>694</v>
      </c>
      <c r="D510" s="36" t="s">
        <v>686</v>
      </c>
      <c r="E510" s="38"/>
      <c r="F510" s="38">
        <v>128</v>
      </c>
      <c r="G510" s="38"/>
      <c r="H510" s="31"/>
      <c r="I510" s="38"/>
      <c r="J510" s="38"/>
      <c r="K510" s="23">
        <f t="shared" si="14"/>
        <v>128</v>
      </c>
    </row>
    <row r="511" spans="1:11" ht="16.5" thickBot="1">
      <c r="A511" s="18">
        <f t="shared" si="15"/>
        <v>506</v>
      </c>
      <c r="B511" s="37" t="s">
        <v>97</v>
      </c>
      <c r="C511" s="37" t="s">
        <v>750</v>
      </c>
      <c r="D511" s="36" t="s">
        <v>741</v>
      </c>
      <c r="E511" s="38"/>
      <c r="F511" s="38"/>
      <c r="G511" s="38"/>
      <c r="H511" s="31">
        <v>128</v>
      </c>
      <c r="I511" s="38"/>
      <c r="J511" s="38"/>
      <c r="K511" s="23">
        <f t="shared" si="14"/>
        <v>128</v>
      </c>
    </row>
    <row r="512" spans="1:11" ht="16.5" thickBot="1">
      <c r="A512" s="18">
        <f t="shared" si="15"/>
        <v>507</v>
      </c>
      <c r="B512" s="37" t="s">
        <v>210</v>
      </c>
      <c r="C512" s="37" t="s">
        <v>689</v>
      </c>
      <c r="D512" s="36" t="s">
        <v>686</v>
      </c>
      <c r="E512" s="38"/>
      <c r="F512" s="38"/>
      <c r="G512" s="38">
        <v>126</v>
      </c>
      <c r="H512" s="31"/>
      <c r="I512" s="38"/>
      <c r="J512" s="38"/>
      <c r="K512" s="23">
        <f t="shared" si="14"/>
        <v>126</v>
      </c>
    </row>
    <row r="513" spans="1:11" ht="16.5" thickBot="1">
      <c r="A513" s="18">
        <f t="shared" si="15"/>
        <v>508</v>
      </c>
      <c r="B513" s="37" t="s">
        <v>157</v>
      </c>
      <c r="C513" s="37" t="s">
        <v>158</v>
      </c>
      <c r="D513" s="36" t="s">
        <v>154</v>
      </c>
      <c r="E513" s="38">
        <v>125</v>
      </c>
      <c r="F513" s="38"/>
      <c r="G513" s="38"/>
      <c r="H513" s="31"/>
      <c r="I513" s="38"/>
      <c r="J513" s="38"/>
      <c r="K513" s="23">
        <f t="shared" si="14"/>
        <v>125</v>
      </c>
    </row>
    <row r="514" spans="1:11" ht="16.5" thickBot="1">
      <c r="A514" s="18">
        <f t="shared" si="15"/>
        <v>509</v>
      </c>
      <c r="B514" s="37" t="s">
        <v>477</v>
      </c>
      <c r="C514" s="37" t="s">
        <v>478</v>
      </c>
      <c r="D514" s="36" t="s">
        <v>464</v>
      </c>
      <c r="E514" s="38"/>
      <c r="F514" s="38"/>
      <c r="G514" s="38">
        <v>125</v>
      </c>
      <c r="H514" s="31"/>
      <c r="I514" s="38"/>
      <c r="J514" s="38"/>
      <c r="K514" s="23">
        <f t="shared" si="14"/>
        <v>125</v>
      </c>
    </row>
    <row r="515" spans="1:11" ht="16.5" thickBot="1">
      <c r="A515" s="18">
        <f t="shared" si="15"/>
        <v>510</v>
      </c>
      <c r="B515" s="37" t="s">
        <v>538</v>
      </c>
      <c r="C515" s="37" t="s">
        <v>539</v>
      </c>
      <c r="D515" s="36" t="s">
        <v>536</v>
      </c>
      <c r="E515" s="38"/>
      <c r="F515" s="38"/>
      <c r="G515" s="38"/>
      <c r="H515" s="31"/>
      <c r="I515" s="38"/>
      <c r="J515" s="38">
        <v>125</v>
      </c>
      <c r="K515" s="23">
        <f t="shared" si="14"/>
        <v>125</v>
      </c>
    </row>
    <row r="516" spans="1:11" ht="16.5" thickBot="1">
      <c r="A516" s="18">
        <f t="shared" si="15"/>
        <v>511</v>
      </c>
      <c r="B516" s="37" t="s">
        <v>159</v>
      </c>
      <c r="C516" s="37" t="s">
        <v>50</v>
      </c>
      <c r="D516" s="36" t="s">
        <v>654</v>
      </c>
      <c r="E516" s="38">
        <v>125</v>
      </c>
      <c r="F516" s="38"/>
      <c r="G516" s="38"/>
      <c r="H516" s="31"/>
      <c r="I516" s="38"/>
      <c r="J516" s="38"/>
      <c r="K516" s="23">
        <f t="shared" si="14"/>
        <v>125</v>
      </c>
    </row>
    <row r="517" spans="1:11" ht="16.5" thickBot="1">
      <c r="A517" s="18">
        <f t="shared" si="15"/>
        <v>512</v>
      </c>
      <c r="B517" s="37" t="s">
        <v>201</v>
      </c>
      <c r="C517" s="37" t="s">
        <v>495</v>
      </c>
      <c r="D517" s="36" t="s">
        <v>490</v>
      </c>
      <c r="E517" s="38"/>
      <c r="F517" s="38">
        <v>124</v>
      </c>
      <c r="G517" s="38"/>
      <c r="H517" s="31"/>
      <c r="I517" s="38"/>
      <c r="J517" s="38"/>
      <c r="K517" s="23">
        <f t="shared" si="14"/>
        <v>124</v>
      </c>
    </row>
    <row r="518" spans="1:11" ht="16.5" thickBot="1">
      <c r="A518" s="18">
        <f t="shared" si="15"/>
        <v>513</v>
      </c>
      <c r="B518" s="37" t="s">
        <v>23</v>
      </c>
      <c r="C518" s="37" t="s">
        <v>119</v>
      </c>
      <c r="D518" s="36" t="s">
        <v>113</v>
      </c>
      <c r="E518" s="38"/>
      <c r="F518" s="38">
        <v>122</v>
      </c>
      <c r="G518" s="38"/>
      <c r="H518" s="31"/>
      <c r="I518" s="38"/>
      <c r="J518" s="38"/>
      <c r="K518" s="23">
        <f t="shared" ref="K518:K524" si="16">SUM(E518:J518)</f>
        <v>122</v>
      </c>
    </row>
    <row r="519" spans="1:11" ht="16.5" thickBot="1">
      <c r="A519" s="18">
        <f t="shared" si="15"/>
        <v>514</v>
      </c>
      <c r="B519" s="37" t="s">
        <v>210</v>
      </c>
      <c r="C519" s="37" t="s">
        <v>447</v>
      </c>
      <c r="D519" s="36" t="s">
        <v>438</v>
      </c>
      <c r="E519" s="38">
        <v>119</v>
      </c>
      <c r="F519" s="38"/>
      <c r="G519" s="38"/>
      <c r="H519" s="31"/>
      <c r="I519" s="38"/>
      <c r="J519" s="38"/>
      <c r="K519" s="23">
        <f t="shared" si="16"/>
        <v>119</v>
      </c>
    </row>
    <row r="520" spans="1:11" ht="16.5" thickBot="1">
      <c r="A520" s="18">
        <f>A519+1</f>
        <v>515</v>
      </c>
      <c r="B520" s="37" t="s">
        <v>170</v>
      </c>
      <c r="C520" s="37" t="s">
        <v>310</v>
      </c>
      <c r="D520" s="36" t="s">
        <v>304</v>
      </c>
      <c r="E520" s="38">
        <v>115</v>
      </c>
      <c r="F520" s="38"/>
      <c r="G520" s="38"/>
      <c r="H520" s="31"/>
      <c r="I520" s="38"/>
      <c r="J520" s="38"/>
      <c r="K520" s="23">
        <f t="shared" si="16"/>
        <v>115</v>
      </c>
    </row>
    <row r="521" spans="1:11" ht="16.5" thickBot="1">
      <c r="A521" s="18">
        <f>A520+1</f>
        <v>516</v>
      </c>
      <c r="B521" s="37" t="s">
        <v>30</v>
      </c>
      <c r="C521" s="37" t="s">
        <v>483</v>
      </c>
      <c r="D521" s="36" t="s">
        <v>479</v>
      </c>
      <c r="E521" s="38"/>
      <c r="F521" s="38">
        <v>114</v>
      </c>
      <c r="G521" s="38"/>
      <c r="H521" s="31"/>
      <c r="I521" s="38"/>
      <c r="J521" s="38"/>
      <c r="K521" s="23">
        <f t="shared" si="16"/>
        <v>114</v>
      </c>
    </row>
    <row r="522" spans="1:11" ht="16.5" thickBot="1">
      <c r="A522" s="18">
        <f>A521+1</f>
        <v>517</v>
      </c>
      <c r="B522" s="37" t="s">
        <v>97</v>
      </c>
      <c r="C522" s="37" t="s">
        <v>711</v>
      </c>
      <c r="D522" s="36" t="s">
        <v>703</v>
      </c>
      <c r="E522" s="38"/>
      <c r="F522" s="38"/>
      <c r="G522" s="38"/>
      <c r="H522" s="31">
        <v>114</v>
      </c>
      <c r="I522" s="38"/>
      <c r="J522" s="38"/>
      <c r="K522" s="23">
        <f t="shared" si="16"/>
        <v>114</v>
      </c>
    </row>
    <row r="523" spans="1:11" ht="16.5" thickBot="1">
      <c r="A523" s="18">
        <f>A522+1</f>
        <v>518</v>
      </c>
      <c r="B523" s="37" t="s">
        <v>139</v>
      </c>
      <c r="C523" s="37" t="s">
        <v>140</v>
      </c>
      <c r="D523" s="36" t="s">
        <v>127</v>
      </c>
      <c r="E523" s="38"/>
      <c r="F523" s="38">
        <v>107</v>
      </c>
      <c r="G523" s="38"/>
      <c r="H523" s="31"/>
      <c r="I523" s="38"/>
      <c r="J523" s="38"/>
      <c r="K523" s="23">
        <f t="shared" si="16"/>
        <v>107</v>
      </c>
    </row>
    <row r="524" spans="1:11" ht="15.75">
      <c r="A524" s="39">
        <f>A523+1</f>
        <v>519</v>
      </c>
      <c r="B524" s="33" t="s">
        <v>322</v>
      </c>
      <c r="C524" s="33" t="s">
        <v>725</v>
      </c>
      <c r="D524" s="32" t="s">
        <v>720</v>
      </c>
      <c r="E524" s="38"/>
      <c r="F524" s="38"/>
      <c r="G524" s="38"/>
      <c r="H524" s="31"/>
      <c r="I524" s="38"/>
      <c r="J524" s="38"/>
      <c r="K524" s="23">
        <f t="shared" si="16"/>
        <v>0</v>
      </c>
    </row>
  </sheetData>
  <mergeCells count="2">
    <mergeCell ref="A1:O1"/>
    <mergeCell ref="A2:M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>
      <selection activeCell="K5" sqref="K5"/>
    </sheetView>
  </sheetViews>
  <sheetFormatPr defaultRowHeight="15"/>
  <cols>
    <col min="1" max="1" width="11.7109375" customWidth="1"/>
    <col min="2" max="2" width="39.28515625" customWidth="1"/>
    <col min="257" max="257" width="11.7109375" customWidth="1"/>
    <col min="258" max="258" width="39.28515625" customWidth="1"/>
    <col min="513" max="513" width="11.7109375" customWidth="1"/>
    <col min="514" max="514" width="39.28515625" customWidth="1"/>
    <col min="769" max="769" width="11.7109375" customWidth="1"/>
    <col min="770" max="770" width="39.28515625" customWidth="1"/>
    <col min="1025" max="1025" width="11.7109375" customWidth="1"/>
    <col min="1026" max="1026" width="39.28515625" customWidth="1"/>
    <col min="1281" max="1281" width="11.7109375" customWidth="1"/>
    <col min="1282" max="1282" width="39.28515625" customWidth="1"/>
    <col min="1537" max="1537" width="11.7109375" customWidth="1"/>
    <col min="1538" max="1538" width="39.28515625" customWidth="1"/>
    <col min="1793" max="1793" width="11.7109375" customWidth="1"/>
    <col min="1794" max="1794" width="39.28515625" customWidth="1"/>
    <col min="2049" max="2049" width="11.7109375" customWidth="1"/>
    <col min="2050" max="2050" width="39.28515625" customWidth="1"/>
    <col min="2305" max="2305" width="11.7109375" customWidth="1"/>
    <col min="2306" max="2306" width="39.28515625" customWidth="1"/>
    <col min="2561" max="2561" width="11.7109375" customWidth="1"/>
    <col min="2562" max="2562" width="39.28515625" customWidth="1"/>
    <col min="2817" max="2817" width="11.7109375" customWidth="1"/>
    <col min="2818" max="2818" width="39.28515625" customWidth="1"/>
    <col min="3073" max="3073" width="11.7109375" customWidth="1"/>
    <col min="3074" max="3074" width="39.28515625" customWidth="1"/>
    <col min="3329" max="3329" width="11.7109375" customWidth="1"/>
    <col min="3330" max="3330" width="39.28515625" customWidth="1"/>
    <col min="3585" max="3585" width="11.7109375" customWidth="1"/>
    <col min="3586" max="3586" width="39.28515625" customWidth="1"/>
    <col min="3841" max="3841" width="11.7109375" customWidth="1"/>
    <col min="3842" max="3842" width="39.28515625" customWidth="1"/>
    <col min="4097" max="4097" width="11.7109375" customWidth="1"/>
    <col min="4098" max="4098" width="39.28515625" customWidth="1"/>
    <col min="4353" max="4353" width="11.7109375" customWidth="1"/>
    <col min="4354" max="4354" width="39.28515625" customWidth="1"/>
    <col min="4609" max="4609" width="11.7109375" customWidth="1"/>
    <col min="4610" max="4610" width="39.28515625" customWidth="1"/>
    <col min="4865" max="4865" width="11.7109375" customWidth="1"/>
    <col min="4866" max="4866" width="39.28515625" customWidth="1"/>
    <col min="5121" max="5121" width="11.7109375" customWidth="1"/>
    <col min="5122" max="5122" width="39.28515625" customWidth="1"/>
    <col min="5377" max="5377" width="11.7109375" customWidth="1"/>
    <col min="5378" max="5378" width="39.28515625" customWidth="1"/>
    <col min="5633" max="5633" width="11.7109375" customWidth="1"/>
    <col min="5634" max="5634" width="39.28515625" customWidth="1"/>
    <col min="5889" max="5889" width="11.7109375" customWidth="1"/>
    <col min="5890" max="5890" width="39.28515625" customWidth="1"/>
    <col min="6145" max="6145" width="11.7109375" customWidth="1"/>
    <col min="6146" max="6146" width="39.28515625" customWidth="1"/>
    <col min="6401" max="6401" width="11.7109375" customWidth="1"/>
    <col min="6402" max="6402" width="39.28515625" customWidth="1"/>
    <col min="6657" max="6657" width="11.7109375" customWidth="1"/>
    <col min="6658" max="6658" width="39.28515625" customWidth="1"/>
    <col min="6913" max="6913" width="11.7109375" customWidth="1"/>
    <col min="6914" max="6914" width="39.28515625" customWidth="1"/>
    <col min="7169" max="7169" width="11.7109375" customWidth="1"/>
    <col min="7170" max="7170" width="39.28515625" customWidth="1"/>
    <col min="7425" max="7425" width="11.7109375" customWidth="1"/>
    <col min="7426" max="7426" width="39.28515625" customWidth="1"/>
    <col min="7681" max="7681" width="11.7109375" customWidth="1"/>
    <col min="7682" max="7682" width="39.28515625" customWidth="1"/>
    <col min="7937" max="7937" width="11.7109375" customWidth="1"/>
    <col min="7938" max="7938" width="39.28515625" customWidth="1"/>
    <col min="8193" max="8193" width="11.7109375" customWidth="1"/>
    <col min="8194" max="8194" width="39.28515625" customWidth="1"/>
    <col min="8449" max="8449" width="11.7109375" customWidth="1"/>
    <col min="8450" max="8450" width="39.28515625" customWidth="1"/>
    <col min="8705" max="8705" width="11.7109375" customWidth="1"/>
    <col min="8706" max="8706" width="39.28515625" customWidth="1"/>
    <col min="8961" max="8961" width="11.7109375" customWidth="1"/>
    <col min="8962" max="8962" width="39.28515625" customWidth="1"/>
    <col min="9217" max="9217" width="11.7109375" customWidth="1"/>
    <col min="9218" max="9218" width="39.28515625" customWidth="1"/>
    <col min="9473" max="9473" width="11.7109375" customWidth="1"/>
    <col min="9474" max="9474" width="39.28515625" customWidth="1"/>
    <col min="9729" max="9729" width="11.7109375" customWidth="1"/>
    <col min="9730" max="9730" width="39.28515625" customWidth="1"/>
    <col min="9985" max="9985" width="11.7109375" customWidth="1"/>
    <col min="9986" max="9986" width="39.28515625" customWidth="1"/>
    <col min="10241" max="10241" width="11.7109375" customWidth="1"/>
    <col min="10242" max="10242" width="39.28515625" customWidth="1"/>
    <col min="10497" max="10497" width="11.7109375" customWidth="1"/>
    <col min="10498" max="10498" width="39.28515625" customWidth="1"/>
    <col min="10753" max="10753" width="11.7109375" customWidth="1"/>
    <col min="10754" max="10754" width="39.28515625" customWidth="1"/>
    <col min="11009" max="11009" width="11.7109375" customWidth="1"/>
    <col min="11010" max="11010" width="39.28515625" customWidth="1"/>
    <col min="11265" max="11265" width="11.7109375" customWidth="1"/>
    <col min="11266" max="11266" width="39.28515625" customWidth="1"/>
    <col min="11521" max="11521" width="11.7109375" customWidth="1"/>
    <col min="11522" max="11522" width="39.28515625" customWidth="1"/>
    <col min="11777" max="11777" width="11.7109375" customWidth="1"/>
    <col min="11778" max="11778" width="39.28515625" customWidth="1"/>
    <col min="12033" max="12033" width="11.7109375" customWidth="1"/>
    <col min="12034" max="12034" width="39.28515625" customWidth="1"/>
    <col min="12289" max="12289" width="11.7109375" customWidth="1"/>
    <col min="12290" max="12290" width="39.28515625" customWidth="1"/>
    <col min="12545" max="12545" width="11.7109375" customWidth="1"/>
    <col min="12546" max="12546" width="39.28515625" customWidth="1"/>
    <col min="12801" max="12801" width="11.7109375" customWidth="1"/>
    <col min="12802" max="12802" width="39.28515625" customWidth="1"/>
    <col min="13057" max="13057" width="11.7109375" customWidth="1"/>
    <col min="13058" max="13058" width="39.28515625" customWidth="1"/>
    <col min="13313" max="13313" width="11.7109375" customWidth="1"/>
    <col min="13314" max="13314" width="39.28515625" customWidth="1"/>
    <col min="13569" max="13569" width="11.7109375" customWidth="1"/>
    <col min="13570" max="13570" width="39.28515625" customWidth="1"/>
    <col min="13825" max="13825" width="11.7109375" customWidth="1"/>
    <col min="13826" max="13826" width="39.28515625" customWidth="1"/>
    <col min="14081" max="14081" width="11.7109375" customWidth="1"/>
    <col min="14082" max="14082" width="39.28515625" customWidth="1"/>
    <col min="14337" max="14337" width="11.7109375" customWidth="1"/>
    <col min="14338" max="14338" width="39.28515625" customWidth="1"/>
    <col min="14593" max="14593" width="11.7109375" customWidth="1"/>
    <col min="14594" max="14594" width="39.28515625" customWidth="1"/>
    <col min="14849" max="14849" width="11.7109375" customWidth="1"/>
    <col min="14850" max="14850" width="39.28515625" customWidth="1"/>
    <col min="15105" max="15105" width="11.7109375" customWidth="1"/>
    <col min="15106" max="15106" width="39.28515625" customWidth="1"/>
    <col min="15361" max="15361" width="11.7109375" customWidth="1"/>
    <col min="15362" max="15362" width="39.28515625" customWidth="1"/>
    <col min="15617" max="15617" width="11.7109375" customWidth="1"/>
    <col min="15618" max="15618" width="39.28515625" customWidth="1"/>
    <col min="15873" max="15873" width="11.7109375" customWidth="1"/>
    <col min="15874" max="15874" width="39.28515625" customWidth="1"/>
    <col min="16129" max="16129" width="11.7109375" customWidth="1"/>
    <col min="16130" max="16130" width="39.28515625" customWidth="1"/>
  </cols>
  <sheetData>
    <row r="1" spans="1:8" ht="23.25">
      <c r="A1" s="40" t="s">
        <v>1538</v>
      </c>
      <c r="B1" s="40"/>
      <c r="C1" s="41"/>
      <c r="D1" s="41"/>
    </row>
    <row r="2" spans="1:8" ht="20.25" customHeight="1">
      <c r="A2" s="78" t="s">
        <v>1558</v>
      </c>
      <c r="B2" s="78"/>
      <c r="C2" s="78"/>
      <c r="D2" s="78"/>
      <c r="E2" s="78"/>
      <c r="F2" s="78"/>
      <c r="G2" s="78"/>
      <c r="H2" s="78"/>
    </row>
    <row r="3" spans="1:8" ht="12" customHeight="1">
      <c r="A3" s="12"/>
      <c r="B3" s="12"/>
      <c r="C3" s="13"/>
      <c r="D3" s="13"/>
    </row>
    <row r="4" spans="1:8" ht="20.25">
      <c r="A4" s="14" t="s">
        <v>1552</v>
      </c>
      <c r="B4" s="15" t="s">
        <v>1543</v>
      </c>
      <c r="C4" s="16" t="s">
        <v>1550</v>
      </c>
      <c r="D4" s="13"/>
    </row>
    <row r="5" spans="1:8" ht="12" customHeight="1" thickBot="1">
      <c r="A5" s="12"/>
      <c r="B5" s="17"/>
      <c r="C5" s="13"/>
      <c r="D5" s="13"/>
    </row>
    <row r="6" spans="1:8" ht="21" thickBot="1">
      <c r="A6" s="18">
        <v>1</v>
      </c>
      <c r="B6" s="19" t="s">
        <v>817</v>
      </c>
      <c r="C6" s="23">
        <v>6011</v>
      </c>
      <c r="D6" s="13"/>
    </row>
    <row r="7" spans="1:8" ht="21" thickBot="1">
      <c r="A7" s="18">
        <f>A6+1</f>
        <v>2</v>
      </c>
      <c r="B7" s="24" t="s">
        <v>729</v>
      </c>
      <c r="C7" s="23">
        <v>6003</v>
      </c>
      <c r="D7" s="13"/>
    </row>
    <row r="8" spans="1:8" ht="21" thickBot="1">
      <c r="A8" s="18">
        <f t="shared" ref="A8:A71" si="0">A7+1</f>
        <v>3</v>
      </c>
      <c r="B8" s="24" t="s">
        <v>464</v>
      </c>
      <c r="C8" s="23">
        <v>5940</v>
      </c>
      <c r="D8" s="13"/>
    </row>
    <row r="9" spans="1:8" ht="21" thickBot="1">
      <c r="A9" s="18">
        <f t="shared" si="0"/>
        <v>4</v>
      </c>
      <c r="B9" s="28" t="s">
        <v>827</v>
      </c>
      <c r="C9" s="23">
        <v>5918</v>
      </c>
      <c r="D9" s="13"/>
    </row>
    <row r="10" spans="1:8" ht="21" thickBot="1">
      <c r="A10" s="18">
        <f t="shared" si="0"/>
        <v>5</v>
      </c>
      <c r="B10" s="32" t="s">
        <v>501</v>
      </c>
      <c r="C10" s="23">
        <v>5851</v>
      </c>
      <c r="D10" s="13"/>
    </row>
    <row r="11" spans="1:8" ht="21" thickBot="1">
      <c r="A11" s="18">
        <f t="shared" si="0"/>
        <v>6</v>
      </c>
      <c r="B11" s="32" t="s">
        <v>695</v>
      </c>
      <c r="C11" s="23">
        <v>5746</v>
      </c>
      <c r="D11" s="13"/>
    </row>
    <row r="12" spans="1:8" ht="21" thickBot="1">
      <c r="A12" s="18">
        <f t="shared" si="0"/>
        <v>7</v>
      </c>
      <c r="B12" s="32" t="s">
        <v>654</v>
      </c>
      <c r="C12" s="23">
        <v>5742</v>
      </c>
      <c r="D12" s="13"/>
    </row>
    <row r="13" spans="1:8" ht="21" thickBot="1">
      <c r="A13" s="18">
        <f t="shared" si="0"/>
        <v>8</v>
      </c>
      <c r="B13" s="32" t="s">
        <v>1306</v>
      </c>
      <c r="C13" s="23">
        <v>5705</v>
      </c>
      <c r="D13" s="34"/>
    </row>
    <row r="14" spans="1:8" ht="21" thickBot="1">
      <c r="A14" s="18">
        <f t="shared" si="0"/>
        <v>9</v>
      </c>
      <c r="B14" s="28" t="s">
        <v>205</v>
      </c>
      <c r="C14" s="23">
        <v>5689</v>
      </c>
      <c r="D14" s="13"/>
    </row>
    <row r="15" spans="1:8" ht="21" thickBot="1">
      <c r="A15" s="18">
        <f t="shared" si="0"/>
        <v>10</v>
      </c>
      <c r="B15" s="32" t="s">
        <v>167</v>
      </c>
      <c r="C15" s="23">
        <v>5688</v>
      </c>
      <c r="D15" s="13"/>
    </row>
    <row r="16" spans="1:8" ht="21" thickBot="1">
      <c r="A16" s="18">
        <f t="shared" si="0"/>
        <v>11</v>
      </c>
      <c r="B16" s="32" t="s">
        <v>575</v>
      </c>
      <c r="C16" s="23">
        <v>5656</v>
      </c>
      <c r="D16" s="13"/>
    </row>
    <row r="17" spans="1:6" ht="16.5" thickBot="1">
      <c r="A17" s="18">
        <f t="shared" si="0"/>
        <v>12</v>
      </c>
      <c r="B17" s="32" t="s">
        <v>479</v>
      </c>
      <c r="C17" s="23">
        <v>5585</v>
      </c>
    </row>
    <row r="18" spans="1:6" ht="16.5" thickBot="1">
      <c r="A18" s="18">
        <f t="shared" si="0"/>
        <v>13</v>
      </c>
      <c r="B18" s="28" t="s">
        <v>452</v>
      </c>
      <c r="C18" s="23">
        <v>5569</v>
      </c>
    </row>
    <row r="19" spans="1:6" ht="16.5" thickBot="1">
      <c r="A19" s="18">
        <f t="shared" si="0"/>
        <v>14</v>
      </c>
      <c r="B19" s="28" t="s">
        <v>856</v>
      </c>
      <c r="C19" s="23">
        <v>5538</v>
      </c>
      <c r="D19" s="35"/>
      <c r="E19" s="35"/>
      <c r="F19" s="35"/>
    </row>
    <row r="20" spans="1:6" ht="16.5" thickBot="1">
      <c r="A20" s="18">
        <f t="shared" si="0"/>
        <v>15</v>
      </c>
      <c r="B20" s="32" t="s">
        <v>331</v>
      </c>
      <c r="C20" s="23">
        <v>5534</v>
      </c>
    </row>
    <row r="21" spans="1:6" ht="16.5" thickBot="1">
      <c r="A21" s="18">
        <f t="shared" si="0"/>
        <v>16</v>
      </c>
      <c r="B21" s="28" t="s">
        <v>626</v>
      </c>
      <c r="C21" s="23">
        <v>5527</v>
      </c>
    </row>
    <row r="22" spans="1:6" ht="16.5" thickBot="1">
      <c r="A22" s="18">
        <f t="shared" si="0"/>
        <v>17</v>
      </c>
      <c r="B22" s="32" t="s">
        <v>438</v>
      </c>
      <c r="C22" s="23">
        <v>5526</v>
      </c>
    </row>
    <row r="23" spans="1:6" ht="16.5" thickBot="1">
      <c r="A23" s="18">
        <f t="shared" si="0"/>
        <v>18</v>
      </c>
      <c r="B23" s="32" t="s">
        <v>304</v>
      </c>
      <c r="C23" s="23">
        <v>5488</v>
      </c>
    </row>
    <row r="24" spans="1:6" ht="16.5" thickBot="1">
      <c r="A24" s="18">
        <f t="shared" si="0"/>
        <v>19</v>
      </c>
      <c r="B24" s="32" t="s">
        <v>763</v>
      </c>
      <c r="C24" s="23">
        <v>5478</v>
      </c>
    </row>
    <row r="25" spans="1:6" ht="16.5" thickBot="1">
      <c r="A25" s="18">
        <f t="shared" si="0"/>
        <v>20</v>
      </c>
      <c r="B25" s="32" t="s">
        <v>643</v>
      </c>
      <c r="C25" s="23">
        <v>5464</v>
      </c>
    </row>
    <row r="26" spans="1:6" ht="16.5" thickBot="1">
      <c r="A26" s="18">
        <f t="shared" si="0"/>
        <v>21</v>
      </c>
      <c r="B26" s="32" t="s">
        <v>790</v>
      </c>
      <c r="C26" s="23">
        <v>5462</v>
      </c>
    </row>
    <row r="27" spans="1:6" ht="16.5" thickBot="1">
      <c r="A27" s="18">
        <f t="shared" si="0"/>
        <v>22</v>
      </c>
      <c r="B27" s="36" t="s">
        <v>1289</v>
      </c>
      <c r="C27" s="23">
        <v>5441</v>
      </c>
    </row>
    <row r="28" spans="1:6" ht="16.5" thickBot="1">
      <c r="A28" s="18">
        <f t="shared" si="0"/>
        <v>23</v>
      </c>
      <c r="B28" s="36" t="s">
        <v>281</v>
      </c>
      <c r="C28" s="23">
        <v>5434</v>
      </c>
    </row>
    <row r="29" spans="1:6" ht="16.5" thickBot="1">
      <c r="A29" s="18">
        <f t="shared" si="0"/>
        <v>24</v>
      </c>
      <c r="B29" s="36" t="s">
        <v>547</v>
      </c>
      <c r="C29" s="23">
        <v>5422</v>
      </c>
    </row>
    <row r="30" spans="1:6" ht="16.5" thickBot="1">
      <c r="A30" s="18">
        <f t="shared" si="0"/>
        <v>25</v>
      </c>
      <c r="B30" s="36" t="s">
        <v>713</v>
      </c>
      <c r="C30" s="23">
        <v>5422</v>
      </c>
    </row>
    <row r="31" spans="1:6" ht="16.5" thickBot="1">
      <c r="A31" s="18">
        <f t="shared" si="0"/>
        <v>26</v>
      </c>
      <c r="B31" s="36" t="s">
        <v>1024</v>
      </c>
      <c r="C31" s="23">
        <v>5403</v>
      </c>
    </row>
    <row r="32" spans="1:6" ht="16.5" thickBot="1">
      <c r="A32" s="18">
        <f t="shared" si="0"/>
        <v>27</v>
      </c>
      <c r="B32" s="36" t="s">
        <v>750</v>
      </c>
      <c r="C32" s="23">
        <v>5382</v>
      </c>
    </row>
    <row r="33" spans="1:3" ht="16.5" thickBot="1">
      <c r="A33" s="18">
        <f t="shared" si="0"/>
        <v>28</v>
      </c>
      <c r="B33" s="36" t="s">
        <v>127</v>
      </c>
      <c r="C33" s="23">
        <v>5370</v>
      </c>
    </row>
    <row r="34" spans="1:3" ht="16.5" thickBot="1">
      <c r="A34" s="18">
        <f t="shared" si="0"/>
        <v>29</v>
      </c>
      <c r="B34" s="36" t="s">
        <v>1413</v>
      </c>
      <c r="C34" s="23">
        <v>5369</v>
      </c>
    </row>
    <row r="35" spans="1:3" ht="16.5" thickBot="1">
      <c r="A35" s="18">
        <f t="shared" si="0"/>
        <v>30</v>
      </c>
      <c r="B35" s="36" t="s">
        <v>154</v>
      </c>
      <c r="C35" s="23">
        <v>5366</v>
      </c>
    </row>
    <row r="36" spans="1:3" ht="16.5" thickBot="1">
      <c r="A36" s="18">
        <f t="shared" si="0"/>
        <v>31</v>
      </c>
      <c r="B36" s="36" t="s">
        <v>1339</v>
      </c>
      <c r="C36" s="23">
        <v>5354</v>
      </c>
    </row>
    <row r="37" spans="1:3" ht="16.5" thickBot="1">
      <c r="A37" s="18">
        <f t="shared" si="0"/>
        <v>32</v>
      </c>
      <c r="B37" s="36" t="s">
        <v>295</v>
      </c>
      <c r="C37" s="23">
        <v>5290</v>
      </c>
    </row>
    <row r="38" spans="1:3" ht="16.5" thickBot="1">
      <c r="A38" s="18">
        <f t="shared" si="0"/>
        <v>33</v>
      </c>
      <c r="B38" s="36" t="s">
        <v>781</v>
      </c>
      <c r="C38" s="23">
        <v>5276</v>
      </c>
    </row>
    <row r="39" spans="1:3" ht="16.5" thickBot="1">
      <c r="A39" s="18">
        <f t="shared" si="0"/>
        <v>34</v>
      </c>
      <c r="B39" s="36" t="s">
        <v>413</v>
      </c>
      <c r="C39" s="23">
        <v>5248</v>
      </c>
    </row>
    <row r="40" spans="1:3" ht="16.5" thickBot="1">
      <c r="A40" s="18">
        <f t="shared" si="0"/>
        <v>35</v>
      </c>
      <c r="B40" s="36" t="s">
        <v>1228</v>
      </c>
      <c r="C40" s="23">
        <v>5236</v>
      </c>
    </row>
    <row r="41" spans="1:3" ht="16.5" thickBot="1">
      <c r="A41" s="18">
        <f t="shared" si="0"/>
        <v>36</v>
      </c>
      <c r="B41" s="36" t="s">
        <v>514</v>
      </c>
      <c r="C41" s="23">
        <v>5222</v>
      </c>
    </row>
    <row r="42" spans="1:3" ht="16.5" thickBot="1">
      <c r="A42" s="18">
        <f t="shared" si="0"/>
        <v>37</v>
      </c>
      <c r="B42" s="36" t="s">
        <v>617</v>
      </c>
      <c r="C42" s="23">
        <v>5217</v>
      </c>
    </row>
    <row r="43" spans="1:3" ht="16.5" thickBot="1">
      <c r="A43" s="18">
        <f t="shared" si="0"/>
        <v>38</v>
      </c>
      <c r="B43" s="36" t="s">
        <v>799</v>
      </c>
      <c r="C43" s="23">
        <v>5203</v>
      </c>
    </row>
    <row r="44" spans="1:3" ht="16.5" thickBot="1">
      <c r="A44" s="18">
        <f t="shared" si="0"/>
        <v>39</v>
      </c>
      <c r="B44" s="36" t="s">
        <v>1199</v>
      </c>
      <c r="C44" s="23">
        <v>5179</v>
      </c>
    </row>
    <row r="45" spans="1:3" ht="16.5" thickBot="1">
      <c r="A45" s="18">
        <f t="shared" si="0"/>
        <v>40</v>
      </c>
      <c r="B45" s="36" t="s">
        <v>231</v>
      </c>
      <c r="C45" s="23">
        <v>5171</v>
      </c>
    </row>
    <row r="46" spans="1:3" ht="16.5" thickBot="1">
      <c r="A46" s="18">
        <f t="shared" si="0"/>
        <v>41</v>
      </c>
      <c r="B46" s="36" t="s">
        <v>772</v>
      </c>
      <c r="C46" s="23">
        <v>5144</v>
      </c>
    </row>
    <row r="47" spans="1:3" ht="16.5" thickBot="1">
      <c r="A47" s="18">
        <f t="shared" si="0"/>
        <v>42</v>
      </c>
      <c r="B47" s="36" t="s">
        <v>703</v>
      </c>
      <c r="C47" s="23">
        <v>5131</v>
      </c>
    </row>
    <row r="48" spans="1:3" ht="16.5" thickBot="1">
      <c r="A48" s="18">
        <f t="shared" si="0"/>
        <v>43</v>
      </c>
      <c r="B48" s="36" t="s">
        <v>98</v>
      </c>
      <c r="C48" s="23">
        <v>5094</v>
      </c>
    </row>
    <row r="49" spans="1:3" ht="16.5" thickBot="1">
      <c r="A49" s="18">
        <f t="shared" si="0"/>
        <v>44</v>
      </c>
      <c r="B49" s="36" t="s">
        <v>113</v>
      </c>
      <c r="C49" s="23">
        <v>5074</v>
      </c>
    </row>
    <row r="50" spans="1:3" ht="16.5" thickBot="1">
      <c r="A50" s="18">
        <f t="shared" si="0"/>
        <v>45</v>
      </c>
      <c r="B50" s="36" t="s">
        <v>180</v>
      </c>
      <c r="C50" s="23">
        <v>5068</v>
      </c>
    </row>
    <row r="51" spans="1:3" ht="16.5" thickBot="1">
      <c r="A51" s="18">
        <f t="shared" si="0"/>
        <v>46</v>
      </c>
      <c r="B51" s="36" t="s">
        <v>1359</v>
      </c>
      <c r="C51" s="23">
        <v>5049</v>
      </c>
    </row>
    <row r="52" spans="1:3" ht="16.5" thickBot="1">
      <c r="A52" s="18">
        <f t="shared" si="0"/>
        <v>47</v>
      </c>
      <c r="B52" s="36" t="s">
        <v>490</v>
      </c>
      <c r="C52" s="23">
        <v>5040</v>
      </c>
    </row>
    <row r="53" spans="1:3" ht="16.5" thickBot="1">
      <c r="A53" s="18">
        <f t="shared" si="0"/>
        <v>48</v>
      </c>
      <c r="B53" s="36" t="s">
        <v>665</v>
      </c>
      <c r="C53" s="23">
        <v>5032</v>
      </c>
    </row>
    <row r="54" spans="1:3" ht="16.5" thickBot="1">
      <c r="A54" s="18">
        <f t="shared" si="0"/>
        <v>49</v>
      </c>
      <c r="B54" s="32" t="s">
        <v>363</v>
      </c>
      <c r="C54" s="23">
        <v>4997</v>
      </c>
    </row>
    <row r="55" spans="1:3" ht="16.5" thickBot="1">
      <c r="A55" s="18">
        <f t="shared" si="0"/>
        <v>50</v>
      </c>
      <c r="B55" s="32" t="s">
        <v>720</v>
      </c>
      <c r="C55" s="23">
        <v>4995</v>
      </c>
    </row>
    <row r="56" spans="1:3" ht="16.5" thickBot="1">
      <c r="A56" s="18">
        <f t="shared" si="0"/>
        <v>51</v>
      </c>
      <c r="B56" s="32" t="s">
        <v>942</v>
      </c>
      <c r="C56" s="23">
        <v>4954</v>
      </c>
    </row>
    <row r="57" spans="1:3" ht="16.5" thickBot="1">
      <c r="A57" s="18">
        <f t="shared" si="0"/>
        <v>52</v>
      </c>
      <c r="B57" s="36" t="s">
        <v>1518</v>
      </c>
      <c r="C57" s="23">
        <v>4832</v>
      </c>
    </row>
    <row r="58" spans="1:3" ht="16.5" thickBot="1">
      <c r="A58" s="18">
        <f t="shared" si="0"/>
        <v>53</v>
      </c>
      <c r="B58" s="36" t="s">
        <v>536</v>
      </c>
      <c r="C58" s="23">
        <v>4831</v>
      </c>
    </row>
    <row r="59" spans="1:3" ht="16.5" thickBot="1">
      <c r="A59" s="18">
        <f t="shared" si="0"/>
        <v>54</v>
      </c>
      <c r="B59" s="36" t="s">
        <v>425</v>
      </c>
      <c r="C59" s="23">
        <v>4772</v>
      </c>
    </row>
    <row r="60" spans="1:3" ht="16.5" thickBot="1">
      <c r="A60" s="18">
        <f t="shared" si="0"/>
        <v>55</v>
      </c>
      <c r="B60" s="36" t="s">
        <v>44</v>
      </c>
      <c r="C60" s="23">
        <v>4736</v>
      </c>
    </row>
    <row r="61" spans="1:3" ht="16.5" thickBot="1">
      <c r="A61" s="18">
        <f t="shared" si="0"/>
        <v>56</v>
      </c>
      <c r="B61" s="36" t="s">
        <v>932</v>
      </c>
      <c r="C61" s="23">
        <v>4717</v>
      </c>
    </row>
    <row r="62" spans="1:3" ht="16.5" thickBot="1">
      <c r="A62" s="18">
        <f t="shared" si="0"/>
        <v>57</v>
      </c>
      <c r="B62" s="36" t="s">
        <v>751</v>
      </c>
      <c r="C62" s="23">
        <v>4701</v>
      </c>
    </row>
    <row r="63" spans="1:3" ht="16.5" thickBot="1">
      <c r="A63" s="18">
        <f t="shared" si="0"/>
        <v>58</v>
      </c>
      <c r="B63" s="36" t="s">
        <v>27</v>
      </c>
      <c r="C63" s="23">
        <v>4682</v>
      </c>
    </row>
    <row r="64" spans="1:3" ht="16.5" thickBot="1">
      <c r="A64" s="18">
        <f t="shared" si="0"/>
        <v>59</v>
      </c>
      <c r="B64" s="36" t="s">
        <v>84</v>
      </c>
      <c r="C64" s="23">
        <v>4484</v>
      </c>
    </row>
    <row r="65" spans="1:3" ht="16.5" thickBot="1">
      <c r="A65" s="18">
        <f t="shared" si="0"/>
        <v>60</v>
      </c>
      <c r="B65" s="36" t="s">
        <v>318</v>
      </c>
      <c r="C65" s="23">
        <v>4447</v>
      </c>
    </row>
    <row r="66" spans="1:3" ht="16.5" thickBot="1">
      <c r="A66" s="18">
        <f t="shared" si="0"/>
        <v>61</v>
      </c>
      <c r="B66" s="36" t="s">
        <v>262</v>
      </c>
      <c r="C66" s="23">
        <v>4255</v>
      </c>
    </row>
    <row r="67" spans="1:3" ht="16.5" thickBot="1">
      <c r="A67" s="18">
        <f t="shared" si="0"/>
        <v>62</v>
      </c>
      <c r="B67" s="36" t="s">
        <v>1098</v>
      </c>
      <c r="C67" s="23">
        <v>4134</v>
      </c>
    </row>
    <row r="68" spans="1:3" ht="16.5" thickBot="1">
      <c r="A68" s="18">
        <f t="shared" si="0"/>
        <v>63</v>
      </c>
      <c r="B68" s="36" t="s">
        <v>636</v>
      </c>
      <c r="C68" s="23">
        <v>4049</v>
      </c>
    </row>
    <row r="69" spans="1:3" ht="16.5" thickBot="1">
      <c r="A69" s="18">
        <f t="shared" si="0"/>
        <v>64</v>
      </c>
      <c r="B69" s="36" t="s">
        <v>1534</v>
      </c>
      <c r="C69" s="23">
        <v>3811</v>
      </c>
    </row>
    <row r="70" spans="1:3" ht="16.5" thickBot="1">
      <c r="A70" s="18">
        <f t="shared" si="0"/>
        <v>65</v>
      </c>
      <c r="B70" s="36" t="s">
        <v>807</v>
      </c>
      <c r="C70" s="23">
        <v>3783</v>
      </c>
    </row>
    <row r="71" spans="1:3" ht="15.75">
      <c r="A71" s="18">
        <f t="shared" si="0"/>
        <v>66</v>
      </c>
      <c r="B71" s="36" t="s">
        <v>1315</v>
      </c>
      <c r="C71" s="23">
        <v>2854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4"/>
  <sheetViews>
    <sheetView workbookViewId="0">
      <selection activeCell="D7" sqref="D7"/>
    </sheetView>
  </sheetViews>
  <sheetFormatPr defaultRowHeight="15"/>
  <cols>
    <col min="1" max="1" width="5.85546875" customWidth="1"/>
    <col min="2" max="2" width="15.42578125" bestFit="1" customWidth="1"/>
    <col min="3" max="3" width="15.140625" bestFit="1" customWidth="1"/>
    <col min="4" max="4" width="27.28515625" bestFit="1" customWidth="1"/>
    <col min="5" max="6" width="6.7109375" bestFit="1" customWidth="1"/>
    <col min="7" max="7" width="7.28515625" bestFit="1" customWidth="1"/>
    <col min="8" max="10" width="6.7109375" bestFit="1" customWidth="1"/>
    <col min="11" max="11" width="8.42578125" bestFit="1" customWidth="1"/>
    <col min="12" max="12" width="6" customWidth="1"/>
    <col min="13" max="13" width="5.85546875" customWidth="1"/>
    <col min="15" max="15" width="15.5703125" bestFit="1" customWidth="1"/>
    <col min="257" max="257" width="5.85546875" customWidth="1"/>
    <col min="258" max="258" width="15.42578125" bestFit="1" customWidth="1"/>
    <col min="259" max="259" width="15.140625" bestFit="1" customWidth="1"/>
    <col min="260" max="260" width="27.28515625" bestFit="1" customWidth="1"/>
    <col min="261" max="262" width="6.7109375" bestFit="1" customWidth="1"/>
    <col min="263" max="263" width="7.28515625" bestFit="1" customWidth="1"/>
    <col min="264" max="266" width="6.7109375" bestFit="1" customWidth="1"/>
    <col min="267" max="267" width="8.42578125" bestFit="1" customWidth="1"/>
    <col min="268" max="268" width="6" customWidth="1"/>
    <col min="269" max="269" width="5.85546875" customWidth="1"/>
    <col min="271" max="271" width="15.5703125" bestFit="1" customWidth="1"/>
    <col min="513" max="513" width="5.85546875" customWidth="1"/>
    <col min="514" max="514" width="15.42578125" bestFit="1" customWidth="1"/>
    <col min="515" max="515" width="15.140625" bestFit="1" customWidth="1"/>
    <col min="516" max="516" width="27.28515625" bestFit="1" customWidth="1"/>
    <col min="517" max="518" width="6.7109375" bestFit="1" customWidth="1"/>
    <col min="519" max="519" width="7.28515625" bestFit="1" customWidth="1"/>
    <col min="520" max="522" width="6.7109375" bestFit="1" customWidth="1"/>
    <col min="523" max="523" width="8.42578125" bestFit="1" customWidth="1"/>
    <col min="524" max="524" width="6" customWidth="1"/>
    <col min="525" max="525" width="5.85546875" customWidth="1"/>
    <col min="527" max="527" width="15.5703125" bestFit="1" customWidth="1"/>
    <col min="769" max="769" width="5.85546875" customWidth="1"/>
    <col min="770" max="770" width="15.42578125" bestFit="1" customWidth="1"/>
    <col min="771" max="771" width="15.140625" bestFit="1" customWidth="1"/>
    <col min="772" max="772" width="27.28515625" bestFit="1" customWidth="1"/>
    <col min="773" max="774" width="6.7109375" bestFit="1" customWidth="1"/>
    <col min="775" max="775" width="7.28515625" bestFit="1" customWidth="1"/>
    <col min="776" max="778" width="6.7109375" bestFit="1" customWidth="1"/>
    <col min="779" max="779" width="8.42578125" bestFit="1" customWidth="1"/>
    <col min="780" max="780" width="6" customWidth="1"/>
    <col min="781" max="781" width="5.85546875" customWidth="1"/>
    <col min="783" max="783" width="15.5703125" bestFit="1" customWidth="1"/>
    <col min="1025" max="1025" width="5.85546875" customWidth="1"/>
    <col min="1026" max="1026" width="15.42578125" bestFit="1" customWidth="1"/>
    <col min="1027" max="1027" width="15.140625" bestFit="1" customWidth="1"/>
    <col min="1028" max="1028" width="27.28515625" bestFit="1" customWidth="1"/>
    <col min="1029" max="1030" width="6.7109375" bestFit="1" customWidth="1"/>
    <col min="1031" max="1031" width="7.28515625" bestFit="1" customWidth="1"/>
    <col min="1032" max="1034" width="6.7109375" bestFit="1" customWidth="1"/>
    <col min="1035" max="1035" width="8.42578125" bestFit="1" customWidth="1"/>
    <col min="1036" max="1036" width="6" customWidth="1"/>
    <col min="1037" max="1037" width="5.85546875" customWidth="1"/>
    <col min="1039" max="1039" width="15.5703125" bestFit="1" customWidth="1"/>
    <col min="1281" max="1281" width="5.85546875" customWidth="1"/>
    <col min="1282" max="1282" width="15.42578125" bestFit="1" customWidth="1"/>
    <col min="1283" max="1283" width="15.140625" bestFit="1" customWidth="1"/>
    <col min="1284" max="1284" width="27.28515625" bestFit="1" customWidth="1"/>
    <col min="1285" max="1286" width="6.7109375" bestFit="1" customWidth="1"/>
    <col min="1287" max="1287" width="7.28515625" bestFit="1" customWidth="1"/>
    <col min="1288" max="1290" width="6.7109375" bestFit="1" customWidth="1"/>
    <col min="1291" max="1291" width="8.42578125" bestFit="1" customWidth="1"/>
    <col min="1292" max="1292" width="6" customWidth="1"/>
    <col min="1293" max="1293" width="5.85546875" customWidth="1"/>
    <col min="1295" max="1295" width="15.5703125" bestFit="1" customWidth="1"/>
    <col min="1537" max="1537" width="5.85546875" customWidth="1"/>
    <col min="1538" max="1538" width="15.42578125" bestFit="1" customWidth="1"/>
    <col min="1539" max="1539" width="15.140625" bestFit="1" customWidth="1"/>
    <col min="1540" max="1540" width="27.28515625" bestFit="1" customWidth="1"/>
    <col min="1541" max="1542" width="6.7109375" bestFit="1" customWidth="1"/>
    <col min="1543" max="1543" width="7.28515625" bestFit="1" customWidth="1"/>
    <col min="1544" max="1546" width="6.7109375" bestFit="1" customWidth="1"/>
    <col min="1547" max="1547" width="8.42578125" bestFit="1" customWidth="1"/>
    <col min="1548" max="1548" width="6" customWidth="1"/>
    <col min="1549" max="1549" width="5.85546875" customWidth="1"/>
    <col min="1551" max="1551" width="15.5703125" bestFit="1" customWidth="1"/>
    <col min="1793" max="1793" width="5.85546875" customWidth="1"/>
    <col min="1794" max="1794" width="15.42578125" bestFit="1" customWidth="1"/>
    <col min="1795" max="1795" width="15.140625" bestFit="1" customWidth="1"/>
    <col min="1796" max="1796" width="27.28515625" bestFit="1" customWidth="1"/>
    <col min="1797" max="1798" width="6.7109375" bestFit="1" customWidth="1"/>
    <col min="1799" max="1799" width="7.28515625" bestFit="1" customWidth="1"/>
    <col min="1800" max="1802" width="6.7109375" bestFit="1" customWidth="1"/>
    <col min="1803" max="1803" width="8.42578125" bestFit="1" customWidth="1"/>
    <col min="1804" max="1804" width="6" customWidth="1"/>
    <col min="1805" max="1805" width="5.85546875" customWidth="1"/>
    <col min="1807" max="1807" width="15.5703125" bestFit="1" customWidth="1"/>
    <col min="2049" max="2049" width="5.85546875" customWidth="1"/>
    <col min="2050" max="2050" width="15.42578125" bestFit="1" customWidth="1"/>
    <col min="2051" max="2051" width="15.140625" bestFit="1" customWidth="1"/>
    <col min="2052" max="2052" width="27.28515625" bestFit="1" customWidth="1"/>
    <col min="2053" max="2054" width="6.7109375" bestFit="1" customWidth="1"/>
    <col min="2055" max="2055" width="7.28515625" bestFit="1" customWidth="1"/>
    <col min="2056" max="2058" width="6.7109375" bestFit="1" customWidth="1"/>
    <col min="2059" max="2059" width="8.42578125" bestFit="1" customWidth="1"/>
    <col min="2060" max="2060" width="6" customWidth="1"/>
    <col min="2061" max="2061" width="5.85546875" customWidth="1"/>
    <col min="2063" max="2063" width="15.5703125" bestFit="1" customWidth="1"/>
    <col min="2305" max="2305" width="5.85546875" customWidth="1"/>
    <col min="2306" max="2306" width="15.42578125" bestFit="1" customWidth="1"/>
    <col min="2307" max="2307" width="15.140625" bestFit="1" customWidth="1"/>
    <col min="2308" max="2308" width="27.28515625" bestFit="1" customWidth="1"/>
    <col min="2309" max="2310" width="6.7109375" bestFit="1" customWidth="1"/>
    <col min="2311" max="2311" width="7.28515625" bestFit="1" customWidth="1"/>
    <col min="2312" max="2314" width="6.7109375" bestFit="1" customWidth="1"/>
    <col min="2315" max="2315" width="8.42578125" bestFit="1" customWidth="1"/>
    <col min="2316" max="2316" width="6" customWidth="1"/>
    <col min="2317" max="2317" width="5.85546875" customWidth="1"/>
    <col min="2319" max="2319" width="15.5703125" bestFit="1" customWidth="1"/>
    <col min="2561" max="2561" width="5.85546875" customWidth="1"/>
    <col min="2562" max="2562" width="15.42578125" bestFit="1" customWidth="1"/>
    <col min="2563" max="2563" width="15.140625" bestFit="1" customWidth="1"/>
    <col min="2564" max="2564" width="27.28515625" bestFit="1" customWidth="1"/>
    <col min="2565" max="2566" width="6.7109375" bestFit="1" customWidth="1"/>
    <col min="2567" max="2567" width="7.28515625" bestFit="1" customWidth="1"/>
    <col min="2568" max="2570" width="6.7109375" bestFit="1" customWidth="1"/>
    <col min="2571" max="2571" width="8.42578125" bestFit="1" customWidth="1"/>
    <col min="2572" max="2572" width="6" customWidth="1"/>
    <col min="2573" max="2573" width="5.85546875" customWidth="1"/>
    <col min="2575" max="2575" width="15.5703125" bestFit="1" customWidth="1"/>
    <col min="2817" max="2817" width="5.85546875" customWidth="1"/>
    <col min="2818" max="2818" width="15.42578125" bestFit="1" customWidth="1"/>
    <col min="2819" max="2819" width="15.140625" bestFit="1" customWidth="1"/>
    <col min="2820" max="2820" width="27.28515625" bestFit="1" customWidth="1"/>
    <col min="2821" max="2822" width="6.7109375" bestFit="1" customWidth="1"/>
    <col min="2823" max="2823" width="7.28515625" bestFit="1" customWidth="1"/>
    <col min="2824" max="2826" width="6.7109375" bestFit="1" customWidth="1"/>
    <col min="2827" max="2827" width="8.42578125" bestFit="1" customWidth="1"/>
    <col min="2828" max="2828" width="6" customWidth="1"/>
    <col min="2829" max="2829" width="5.85546875" customWidth="1"/>
    <col min="2831" max="2831" width="15.5703125" bestFit="1" customWidth="1"/>
    <col min="3073" max="3073" width="5.85546875" customWidth="1"/>
    <col min="3074" max="3074" width="15.42578125" bestFit="1" customWidth="1"/>
    <col min="3075" max="3075" width="15.140625" bestFit="1" customWidth="1"/>
    <col min="3076" max="3076" width="27.28515625" bestFit="1" customWidth="1"/>
    <col min="3077" max="3078" width="6.7109375" bestFit="1" customWidth="1"/>
    <col min="3079" max="3079" width="7.28515625" bestFit="1" customWidth="1"/>
    <col min="3080" max="3082" width="6.7109375" bestFit="1" customWidth="1"/>
    <col min="3083" max="3083" width="8.42578125" bestFit="1" customWidth="1"/>
    <col min="3084" max="3084" width="6" customWidth="1"/>
    <col min="3085" max="3085" width="5.85546875" customWidth="1"/>
    <col min="3087" max="3087" width="15.5703125" bestFit="1" customWidth="1"/>
    <col min="3329" max="3329" width="5.85546875" customWidth="1"/>
    <col min="3330" max="3330" width="15.42578125" bestFit="1" customWidth="1"/>
    <col min="3331" max="3331" width="15.140625" bestFit="1" customWidth="1"/>
    <col min="3332" max="3332" width="27.28515625" bestFit="1" customWidth="1"/>
    <col min="3333" max="3334" width="6.7109375" bestFit="1" customWidth="1"/>
    <col min="3335" max="3335" width="7.28515625" bestFit="1" customWidth="1"/>
    <col min="3336" max="3338" width="6.7109375" bestFit="1" customWidth="1"/>
    <col min="3339" max="3339" width="8.42578125" bestFit="1" customWidth="1"/>
    <col min="3340" max="3340" width="6" customWidth="1"/>
    <col min="3341" max="3341" width="5.85546875" customWidth="1"/>
    <col min="3343" max="3343" width="15.5703125" bestFit="1" customWidth="1"/>
    <col min="3585" max="3585" width="5.85546875" customWidth="1"/>
    <col min="3586" max="3586" width="15.42578125" bestFit="1" customWidth="1"/>
    <col min="3587" max="3587" width="15.140625" bestFit="1" customWidth="1"/>
    <col min="3588" max="3588" width="27.28515625" bestFit="1" customWidth="1"/>
    <col min="3589" max="3590" width="6.7109375" bestFit="1" customWidth="1"/>
    <col min="3591" max="3591" width="7.28515625" bestFit="1" customWidth="1"/>
    <col min="3592" max="3594" width="6.7109375" bestFit="1" customWidth="1"/>
    <col min="3595" max="3595" width="8.42578125" bestFit="1" customWidth="1"/>
    <col min="3596" max="3596" width="6" customWidth="1"/>
    <col min="3597" max="3597" width="5.85546875" customWidth="1"/>
    <col min="3599" max="3599" width="15.5703125" bestFit="1" customWidth="1"/>
    <col min="3841" max="3841" width="5.85546875" customWidth="1"/>
    <col min="3842" max="3842" width="15.42578125" bestFit="1" customWidth="1"/>
    <col min="3843" max="3843" width="15.140625" bestFit="1" customWidth="1"/>
    <col min="3844" max="3844" width="27.28515625" bestFit="1" customWidth="1"/>
    <col min="3845" max="3846" width="6.7109375" bestFit="1" customWidth="1"/>
    <col min="3847" max="3847" width="7.28515625" bestFit="1" customWidth="1"/>
    <col min="3848" max="3850" width="6.7109375" bestFit="1" customWidth="1"/>
    <col min="3851" max="3851" width="8.42578125" bestFit="1" customWidth="1"/>
    <col min="3852" max="3852" width="6" customWidth="1"/>
    <col min="3853" max="3853" width="5.85546875" customWidth="1"/>
    <col min="3855" max="3855" width="15.5703125" bestFit="1" customWidth="1"/>
    <col min="4097" max="4097" width="5.85546875" customWidth="1"/>
    <col min="4098" max="4098" width="15.42578125" bestFit="1" customWidth="1"/>
    <col min="4099" max="4099" width="15.140625" bestFit="1" customWidth="1"/>
    <col min="4100" max="4100" width="27.28515625" bestFit="1" customWidth="1"/>
    <col min="4101" max="4102" width="6.7109375" bestFit="1" customWidth="1"/>
    <col min="4103" max="4103" width="7.28515625" bestFit="1" customWidth="1"/>
    <col min="4104" max="4106" width="6.7109375" bestFit="1" customWidth="1"/>
    <col min="4107" max="4107" width="8.42578125" bestFit="1" customWidth="1"/>
    <col min="4108" max="4108" width="6" customWidth="1"/>
    <col min="4109" max="4109" width="5.85546875" customWidth="1"/>
    <col min="4111" max="4111" width="15.5703125" bestFit="1" customWidth="1"/>
    <col min="4353" max="4353" width="5.85546875" customWidth="1"/>
    <col min="4354" max="4354" width="15.42578125" bestFit="1" customWidth="1"/>
    <col min="4355" max="4355" width="15.140625" bestFit="1" customWidth="1"/>
    <col min="4356" max="4356" width="27.28515625" bestFit="1" customWidth="1"/>
    <col min="4357" max="4358" width="6.7109375" bestFit="1" customWidth="1"/>
    <col min="4359" max="4359" width="7.28515625" bestFit="1" customWidth="1"/>
    <col min="4360" max="4362" width="6.7109375" bestFit="1" customWidth="1"/>
    <col min="4363" max="4363" width="8.42578125" bestFit="1" customWidth="1"/>
    <col min="4364" max="4364" width="6" customWidth="1"/>
    <col min="4365" max="4365" width="5.85546875" customWidth="1"/>
    <col min="4367" max="4367" width="15.5703125" bestFit="1" customWidth="1"/>
    <col min="4609" max="4609" width="5.85546875" customWidth="1"/>
    <col min="4610" max="4610" width="15.42578125" bestFit="1" customWidth="1"/>
    <col min="4611" max="4611" width="15.140625" bestFit="1" customWidth="1"/>
    <col min="4612" max="4612" width="27.28515625" bestFit="1" customWidth="1"/>
    <col min="4613" max="4614" width="6.7109375" bestFit="1" customWidth="1"/>
    <col min="4615" max="4615" width="7.28515625" bestFit="1" customWidth="1"/>
    <col min="4616" max="4618" width="6.7109375" bestFit="1" customWidth="1"/>
    <col min="4619" max="4619" width="8.42578125" bestFit="1" customWidth="1"/>
    <col min="4620" max="4620" width="6" customWidth="1"/>
    <col min="4621" max="4621" width="5.85546875" customWidth="1"/>
    <col min="4623" max="4623" width="15.5703125" bestFit="1" customWidth="1"/>
    <col min="4865" max="4865" width="5.85546875" customWidth="1"/>
    <col min="4866" max="4866" width="15.42578125" bestFit="1" customWidth="1"/>
    <col min="4867" max="4867" width="15.140625" bestFit="1" customWidth="1"/>
    <col min="4868" max="4868" width="27.28515625" bestFit="1" customWidth="1"/>
    <col min="4869" max="4870" width="6.7109375" bestFit="1" customWidth="1"/>
    <col min="4871" max="4871" width="7.28515625" bestFit="1" customWidth="1"/>
    <col min="4872" max="4874" width="6.7109375" bestFit="1" customWidth="1"/>
    <col min="4875" max="4875" width="8.42578125" bestFit="1" customWidth="1"/>
    <col min="4876" max="4876" width="6" customWidth="1"/>
    <col min="4877" max="4877" width="5.85546875" customWidth="1"/>
    <col min="4879" max="4879" width="15.5703125" bestFit="1" customWidth="1"/>
    <col min="5121" max="5121" width="5.85546875" customWidth="1"/>
    <col min="5122" max="5122" width="15.42578125" bestFit="1" customWidth="1"/>
    <col min="5123" max="5123" width="15.140625" bestFit="1" customWidth="1"/>
    <col min="5124" max="5124" width="27.28515625" bestFit="1" customWidth="1"/>
    <col min="5125" max="5126" width="6.7109375" bestFit="1" customWidth="1"/>
    <col min="5127" max="5127" width="7.28515625" bestFit="1" customWidth="1"/>
    <col min="5128" max="5130" width="6.7109375" bestFit="1" customWidth="1"/>
    <col min="5131" max="5131" width="8.42578125" bestFit="1" customWidth="1"/>
    <col min="5132" max="5132" width="6" customWidth="1"/>
    <col min="5133" max="5133" width="5.85546875" customWidth="1"/>
    <col min="5135" max="5135" width="15.5703125" bestFit="1" customWidth="1"/>
    <col min="5377" max="5377" width="5.85546875" customWidth="1"/>
    <col min="5378" max="5378" width="15.42578125" bestFit="1" customWidth="1"/>
    <col min="5379" max="5379" width="15.140625" bestFit="1" customWidth="1"/>
    <col min="5380" max="5380" width="27.28515625" bestFit="1" customWidth="1"/>
    <col min="5381" max="5382" width="6.7109375" bestFit="1" customWidth="1"/>
    <col min="5383" max="5383" width="7.28515625" bestFit="1" customWidth="1"/>
    <col min="5384" max="5386" width="6.7109375" bestFit="1" customWidth="1"/>
    <col min="5387" max="5387" width="8.42578125" bestFit="1" customWidth="1"/>
    <col min="5388" max="5388" width="6" customWidth="1"/>
    <col min="5389" max="5389" width="5.85546875" customWidth="1"/>
    <col min="5391" max="5391" width="15.5703125" bestFit="1" customWidth="1"/>
    <col min="5633" max="5633" width="5.85546875" customWidth="1"/>
    <col min="5634" max="5634" width="15.42578125" bestFit="1" customWidth="1"/>
    <col min="5635" max="5635" width="15.140625" bestFit="1" customWidth="1"/>
    <col min="5636" max="5636" width="27.28515625" bestFit="1" customWidth="1"/>
    <col min="5637" max="5638" width="6.7109375" bestFit="1" customWidth="1"/>
    <col min="5639" max="5639" width="7.28515625" bestFit="1" customWidth="1"/>
    <col min="5640" max="5642" width="6.7109375" bestFit="1" customWidth="1"/>
    <col min="5643" max="5643" width="8.42578125" bestFit="1" customWidth="1"/>
    <col min="5644" max="5644" width="6" customWidth="1"/>
    <col min="5645" max="5645" width="5.85546875" customWidth="1"/>
    <col min="5647" max="5647" width="15.5703125" bestFit="1" customWidth="1"/>
    <col min="5889" max="5889" width="5.85546875" customWidth="1"/>
    <col min="5890" max="5890" width="15.42578125" bestFit="1" customWidth="1"/>
    <col min="5891" max="5891" width="15.140625" bestFit="1" customWidth="1"/>
    <col min="5892" max="5892" width="27.28515625" bestFit="1" customWidth="1"/>
    <col min="5893" max="5894" width="6.7109375" bestFit="1" customWidth="1"/>
    <col min="5895" max="5895" width="7.28515625" bestFit="1" customWidth="1"/>
    <col min="5896" max="5898" width="6.7109375" bestFit="1" customWidth="1"/>
    <col min="5899" max="5899" width="8.42578125" bestFit="1" customWidth="1"/>
    <col min="5900" max="5900" width="6" customWidth="1"/>
    <col min="5901" max="5901" width="5.85546875" customWidth="1"/>
    <col min="5903" max="5903" width="15.5703125" bestFit="1" customWidth="1"/>
    <col min="6145" max="6145" width="5.85546875" customWidth="1"/>
    <col min="6146" max="6146" width="15.42578125" bestFit="1" customWidth="1"/>
    <col min="6147" max="6147" width="15.140625" bestFit="1" customWidth="1"/>
    <col min="6148" max="6148" width="27.28515625" bestFit="1" customWidth="1"/>
    <col min="6149" max="6150" width="6.7109375" bestFit="1" customWidth="1"/>
    <col min="6151" max="6151" width="7.28515625" bestFit="1" customWidth="1"/>
    <col min="6152" max="6154" width="6.7109375" bestFit="1" customWidth="1"/>
    <col min="6155" max="6155" width="8.42578125" bestFit="1" customWidth="1"/>
    <col min="6156" max="6156" width="6" customWidth="1"/>
    <col min="6157" max="6157" width="5.85546875" customWidth="1"/>
    <col min="6159" max="6159" width="15.5703125" bestFit="1" customWidth="1"/>
    <col min="6401" max="6401" width="5.85546875" customWidth="1"/>
    <col min="6402" max="6402" width="15.42578125" bestFit="1" customWidth="1"/>
    <col min="6403" max="6403" width="15.140625" bestFit="1" customWidth="1"/>
    <col min="6404" max="6404" width="27.28515625" bestFit="1" customWidth="1"/>
    <col min="6405" max="6406" width="6.7109375" bestFit="1" customWidth="1"/>
    <col min="6407" max="6407" width="7.28515625" bestFit="1" customWidth="1"/>
    <col min="6408" max="6410" width="6.7109375" bestFit="1" customWidth="1"/>
    <col min="6411" max="6411" width="8.42578125" bestFit="1" customWidth="1"/>
    <col min="6412" max="6412" width="6" customWidth="1"/>
    <col min="6413" max="6413" width="5.85546875" customWidth="1"/>
    <col min="6415" max="6415" width="15.5703125" bestFit="1" customWidth="1"/>
    <col min="6657" max="6657" width="5.85546875" customWidth="1"/>
    <col min="6658" max="6658" width="15.42578125" bestFit="1" customWidth="1"/>
    <col min="6659" max="6659" width="15.140625" bestFit="1" customWidth="1"/>
    <col min="6660" max="6660" width="27.28515625" bestFit="1" customWidth="1"/>
    <col min="6661" max="6662" width="6.7109375" bestFit="1" customWidth="1"/>
    <col min="6663" max="6663" width="7.28515625" bestFit="1" customWidth="1"/>
    <col min="6664" max="6666" width="6.7109375" bestFit="1" customWidth="1"/>
    <col min="6667" max="6667" width="8.42578125" bestFit="1" customWidth="1"/>
    <col min="6668" max="6668" width="6" customWidth="1"/>
    <col min="6669" max="6669" width="5.85546875" customWidth="1"/>
    <col min="6671" max="6671" width="15.5703125" bestFit="1" customWidth="1"/>
    <col min="6913" max="6913" width="5.85546875" customWidth="1"/>
    <col min="6914" max="6914" width="15.42578125" bestFit="1" customWidth="1"/>
    <col min="6915" max="6915" width="15.140625" bestFit="1" customWidth="1"/>
    <col min="6916" max="6916" width="27.28515625" bestFit="1" customWidth="1"/>
    <col min="6917" max="6918" width="6.7109375" bestFit="1" customWidth="1"/>
    <col min="6919" max="6919" width="7.28515625" bestFit="1" customWidth="1"/>
    <col min="6920" max="6922" width="6.7109375" bestFit="1" customWidth="1"/>
    <col min="6923" max="6923" width="8.42578125" bestFit="1" customWidth="1"/>
    <col min="6924" max="6924" width="6" customWidth="1"/>
    <col min="6925" max="6925" width="5.85546875" customWidth="1"/>
    <col min="6927" max="6927" width="15.5703125" bestFit="1" customWidth="1"/>
    <col min="7169" max="7169" width="5.85546875" customWidth="1"/>
    <col min="7170" max="7170" width="15.42578125" bestFit="1" customWidth="1"/>
    <col min="7171" max="7171" width="15.140625" bestFit="1" customWidth="1"/>
    <col min="7172" max="7172" width="27.28515625" bestFit="1" customWidth="1"/>
    <col min="7173" max="7174" width="6.7109375" bestFit="1" customWidth="1"/>
    <col min="7175" max="7175" width="7.28515625" bestFit="1" customWidth="1"/>
    <col min="7176" max="7178" width="6.7109375" bestFit="1" customWidth="1"/>
    <col min="7179" max="7179" width="8.42578125" bestFit="1" customWidth="1"/>
    <col min="7180" max="7180" width="6" customWidth="1"/>
    <col min="7181" max="7181" width="5.85546875" customWidth="1"/>
    <col min="7183" max="7183" width="15.5703125" bestFit="1" customWidth="1"/>
    <col min="7425" max="7425" width="5.85546875" customWidth="1"/>
    <col min="7426" max="7426" width="15.42578125" bestFit="1" customWidth="1"/>
    <col min="7427" max="7427" width="15.140625" bestFit="1" customWidth="1"/>
    <col min="7428" max="7428" width="27.28515625" bestFit="1" customWidth="1"/>
    <col min="7429" max="7430" width="6.7109375" bestFit="1" customWidth="1"/>
    <col min="7431" max="7431" width="7.28515625" bestFit="1" customWidth="1"/>
    <col min="7432" max="7434" width="6.7109375" bestFit="1" customWidth="1"/>
    <col min="7435" max="7435" width="8.42578125" bestFit="1" customWidth="1"/>
    <col min="7436" max="7436" width="6" customWidth="1"/>
    <col min="7437" max="7437" width="5.85546875" customWidth="1"/>
    <col min="7439" max="7439" width="15.5703125" bestFit="1" customWidth="1"/>
    <col min="7681" max="7681" width="5.85546875" customWidth="1"/>
    <col min="7682" max="7682" width="15.42578125" bestFit="1" customWidth="1"/>
    <col min="7683" max="7683" width="15.140625" bestFit="1" customWidth="1"/>
    <col min="7684" max="7684" width="27.28515625" bestFit="1" customWidth="1"/>
    <col min="7685" max="7686" width="6.7109375" bestFit="1" customWidth="1"/>
    <col min="7687" max="7687" width="7.28515625" bestFit="1" customWidth="1"/>
    <col min="7688" max="7690" width="6.7109375" bestFit="1" customWidth="1"/>
    <col min="7691" max="7691" width="8.42578125" bestFit="1" customWidth="1"/>
    <col min="7692" max="7692" width="6" customWidth="1"/>
    <col min="7693" max="7693" width="5.85546875" customWidth="1"/>
    <col min="7695" max="7695" width="15.5703125" bestFit="1" customWidth="1"/>
    <col min="7937" max="7937" width="5.85546875" customWidth="1"/>
    <col min="7938" max="7938" width="15.42578125" bestFit="1" customWidth="1"/>
    <col min="7939" max="7939" width="15.140625" bestFit="1" customWidth="1"/>
    <col min="7940" max="7940" width="27.28515625" bestFit="1" customWidth="1"/>
    <col min="7941" max="7942" width="6.7109375" bestFit="1" customWidth="1"/>
    <col min="7943" max="7943" width="7.28515625" bestFit="1" customWidth="1"/>
    <col min="7944" max="7946" width="6.7109375" bestFit="1" customWidth="1"/>
    <col min="7947" max="7947" width="8.42578125" bestFit="1" customWidth="1"/>
    <col min="7948" max="7948" width="6" customWidth="1"/>
    <col min="7949" max="7949" width="5.85546875" customWidth="1"/>
    <col min="7951" max="7951" width="15.5703125" bestFit="1" customWidth="1"/>
    <col min="8193" max="8193" width="5.85546875" customWidth="1"/>
    <col min="8194" max="8194" width="15.42578125" bestFit="1" customWidth="1"/>
    <col min="8195" max="8195" width="15.140625" bestFit="1" customWidth="1"/>
    <col min="8196" max="8196" width="27.28515625" bestFit="1" customWidth="1"/>
    <col min="8197" max="8198" width="6.7109375" bestFit="1" customWidth="1"/>
    <col min="8199" max="8199" width="7.28515625" bestFit="1" customWidth="1"/>
    <col min="8200" max="8202" width="6.7109375" bestFit="1" customWidth="1"/>
    <col min="8203" max="8203" width="8.42578125" bestFit="1" customWidth="1"/>
    <col min="8204" max="8204" width="6" customWidth="1"/>
    <col min="8205" max="8205" width="5.85546875" customWidth="1"/>
    <col min="8207" max="8207" width="15.5703125" bestFit="1" customWidth="1"/>
    <col min="8449" max="8449" width="5.85546875" customWidth="1"/>
    <col min="8450" max="8450" width="15.42578125" bestFit="1" customWidth="1"/>
    <col min="8451" max="8451" width="15.140625" bestFit="1" customWidth="1"/>
    <col min="8452" max="8452" width="27.28515625" bestFit="1" customWidth="1"/>
    <col min="8453" max="8454" width="6.7109375" bestFit="1" customWidth="1"/>
    <col min="8455" max="8455" width="7.28515625" bestFit="1" customWidth="1"/>
    <col min="8456" max="8458" width="6.7109375" bestFit="1" customWidth="1"/>
    <col min="8459" max="8459" width="8.42578125" bestFit="1" customWidth="1"/>
    <col min="8460" max="8460" width="6" customWidth="1"/>
    <col min="8461" max="8461" width="5.85546875" customWidth="1"/>
    <col min="8463" max="8463" width="15.5703125" bestFit="1" customWidth="1"/>
    <col min="8705" max="8705" width="5.85546875" customWidth="1"/>
    <col min="8706" max="8706" width="15.42578125" bestFit="1" customWidth="1"/>
    <col min="8707" max="8707" width="15.140625" bestFit="1" customWidth="1"/>
    <col min="8708" max="8708" width="27.28515625" bestFit="1" customWidth="1"/>
    <col min="8709" max="8710" width="6.7109375" bestFit="1" customWidth="1"/>
    <col min="8711" max="8711" width="7.28515625" bestFit="1" customWidth="1"/>
    <col min="8712" max="8714" width="6.7109375" bestFit="1" customWidth="1"/>
    <col min="8715" max="8715" width="8.42578125" bestFit="1" customWidth="1"/>
    <col min="8716" max="8716" width="6" customWidth="1"/>
    <col min="8717" max="8717" width="5.85546875" customWidth="1"/>
    <col min="8719" max="8719" width="15.5703125" bestFit="1" customWidth="1"/>
    <col min="8961" max="8961" width="5.85546875" customWidth="1"/>
    <col min="8962" max="8962" width="15.42578125" bestFit="1" customWidth="1"/>
    <col min="8963" max="8963" width="15.140625" bestFit="1" customWidth="1"/>
    <col min="8964" max="8964" width="27.28515625" bestFit="1" customWidth="1"/>
    <col min="8965" max="8966" width="6.7109375" bestFit="1" customWidth="1"/>
    <col min="8967" max="8967" width="7.28515625" bestFit="1" customWidth="1"/>
    <col min="8968" max="8970" width="6.7109375" bestFit="1" customWidth="1"/>
    <col min="8971" max="8971" width="8.42578125" bestFit="1" customWidth="1"/>
    <col min="8972" max="8972" width="6" customWidth="1"/>
    <col min="8973" max="8973" width="5.85546875" customWidth="1"/>
    <col min="8975" max="8975" width="15.5703125" bestFit="1" customWidth="1"/>
    <col min="9217" max="9217" width="5.85546875" customWidth="1"/>
    <col min="9218" max="9218" width="15.42578125" bestFit="1" customWidth="1"/>
    <col min="9219" max="9219" width="15.140625" bestFit="1" customWidth="1"/>
    <col min="9220" max="9220" width="27.28515625" bestFit="1" customWidth="1"/>
    <col min="9221" max="9222" width="6.7109375" bestFit="1" customWidth="1"/>
    <col min="9223" max="9223" width="7.28515625" bestFit="1" customWidth="1"/>
    <col min="9224" max="9226" width="6.7109375" bestFit="1" customWidth="1"/>
    <col min="9227" max="9227" width="8.42578125" bestFit="1" customWidth="1"/>
    <col min="9228" max="9228" width="6" customWidth="1"/>
    <col min="9229" max="9229" width="5.85546875" customWidth="1"/>
    <col min="9231" max="9231" width="15.5703125" bestFit="1" customWidth="1"/>
    <col min="9473" max="9473" width="5.85546875" customWidth="1"/>
    <col min="9474" max="9474" width="15.42578125" bestFit="1" customWidth="1"/>
    <col min="9475" max="9475" width="15.140625" bestFit="1" customWidth="1"/>
    <col min="9476" max="9476" width="27.28515625" bestFit="1" customWidth="1"/>
    <col min="9477" max="9478" width="6.7109375" bestFit="1" customWidth="1"/>
    <col min="9479" max="9479" width="7.28515625" bestFit="1" customWidth="1"/>
    <col min="9480" max="9482" width="6.7109375" bestFit="1" customWidth="1"/>
    <col min="9483" max="9483" width="8.42578125" bestFit="1" customWidth="1"/>
    <col min="9484" max="9484" width="6" customWidth="1"/>
    <col min="9485" max="9485" width="5.85546875" customWidth="1"/>
    <col min="9487" max="9487" width="15.5703125" bestFit="1" customWidth="1"/>
    <col min="9729" max="9729" width="5.85546875" customWidth="1"/>
    <col min="9730" max="9730" width="15.42578125" bestFit="1" customWidth="1"/>
    <col min="9731" max="9731" width="15.140625" bestFit="1" customWidth="1"/>
    <col min="9732" max="9732" width="27.28515625" bestFit="1" customWidth="1"/>
    <col min="9733" max="9734" width="6.7109375" bestFit="1" customWidth="1"/>
    <col min="9735" max="9735" width="7.28515625" bestFit="1" customWidth="1"/>
    <col min="9736" max="9738" width="6.7109375" bestFit="1" customWidth="1"/>
    <col min="9739" max="9739" width="8.42578125" bestFit="1" customWidth="1"/>
    <col min="9740" max="9740" width="6" customWidth="1"/>
    <col min="9741" max="9741" width="5.85546875" customWidth="1"/>
    <col min="9743" max="9743" width="15.5703125" bestFit="1" customWidth="1"/>
    <col min="9985" max="9985" width="5.85546875" customWidth="1"/>
    <col min="9986" max="9986" width="15.42578125" bestFit="1" customWidth="1"/>
    <col min="9987" max="9987" width="15.140625" bestFit="1" customWidth="1"/>
    <col min="9988" max="9988" width="27.28515625" bestFit="1" customWidth="1"/>
    <col min="9989" max="9990" width="6.7109375" bestFit="1" customWidth="1"/>
    <col min="9991" max="9991" width="7.28515625" bestFit="1" customWidth="1"/>
    <col min="9992" max="9994" width="6.7109375" bestFit="1" customWidth="1"/>
    <col min="9995" max="9995" width="8.42578125" bestFit="1" customWidth="1"/>
    <col min="9996" max="9996" width="6" customWidth="1"/>
    <col min="9997" max="9997" width="5.85546875" customWidth="1"/>
    <col min="9999" max="9999" width="15.5703125" bestFit="1" customWidth="1"/>
    <col min="10241" max="10241" width="5.85546875" customWidth="1"/>
    <col min="10242" max="10242" width="15.42578125" bestFit="1" customWidth="1"/>
    <col min="10243" max="10243" width="15.140625" bestFit="1" customWidth="1"/>
    <col min="10244" max="10244" width="27.28515625" bestFit="1" customWidth="1"/>
    <col min="10245" max="10246" width="6.7109375" bestFit="1" customWidth="1"/>
    <col min="10247" max="10247" width="7.28515625" bestFit="1" customWidth="1"/>
    <col min="10248" max="10250" width="6.7109375" bestFit="1" customWidth="1"/>
    <col min="10251" max="10251" width="8.42578125" bestFit="1" customWidth="1"/>
    <col min="10252" max="10252" width="6" customWidth="1"/>
    <col min="10253" max="10253" width="5.85546875" customWidth="1"/>
    <col min="10255" max="10255" width="15.5703125" bestFit="1" customWidth="1"/>
    <col min="10497" max="10497" width="5.85546875" customWidth="1"/>
    <col min="10498" max="10498" width="15.42578125" bestFit="1" customWidth="1"/>
    <col min="10499" max="10499" width="15.140625" bestFit="1" customWidth="1"/>
    <col min="10500" max="10500" width="27.28515625" bestFit="1" customWidth="1"/>
    <col min="10501" max="10502" width="6.7109375" bestFit="1" customWidth="1"/>
    <col min="10503" max="10503" width="7.28515625" bestFit="1" customWidth="1"/>
    <col min="10504" max="10506" width="6.7109375" bestFit="1" customWidth="1"/>
    <col min="10507" max="10507" width="8.42578125" bestFit="1" customWidth="1"/>
    <col min="10508" max="10508" width="6" customWidth="1"/>
    <col min="10509" max="10509" width="5.85546875" customWidth="1"/>
    <col min="10511" max="10511" width="15.5703125" bestFit="1" customWidth="1"/>
    <col min="10753" max="10753" width="5.85546875" customWidth="1"/>
    <col min="10754" max="10754" width="15.42578125" bestFit="1" customWidth="1"/>
    <col min="10755" max="10755" width="15.140625" bestFit="1" customWidth="1"/>
    <col min="10756" max="10756" width="27.28515625" bestFit="1" customWidth="1"/>
    <col min="10757" max="10758" width="6.7109375" bestFit="1" customWidth="1"/>
    <col min="10759" max="10759" width="7.28515625" bestFit="1" customWidth="1"/>
    <col min="10760" max="10762" width="6.7109375" bestFit="1" customWidth="1"/>
    <col min="10763" max="10763" width="8.42578125" bestFit="1" customWidth="1"/>
    <col min="10764" max="10764" width="6" customWidth="1"/>
    <col min="10765" max="10765" width="5.85546875" customWidth="1"/>
    <col min="10767" max="10767" width="15.5703125" bestFit="1" customWidth="1"/>
    <col min="11009" max="11009" width="5.85546875" customWidth="1"/>
    <col min="11010" max="11010" width="15.42578125" bestFit="1" customWidth="1"/>
    <col min="11011" max="11011" width="15.140625" bestFit="1" customWidth="1"/>
    <col min="11012" max="11012" width="27.28515625" bestFit="1" customWidth="1"/>
    <col min="11013" max="11014" width="6.7109375" bestFit="1" customWidth="1"/>
    <col min="11015" max="11015" width="7.28515625" bestFit="1" customWidth="1"/>
    <col min="11016" max="11018" width="6.7109375" bestFit="1" customWidth="1"/>
    <col min="11019" max="11019" width="8.42578125" bestFit="1" customWidth="1"/>
    <col min="11020" max="11020" width="6" customWidth="1"/>
    <col min="11021" max="11021" width="5.85546875" customWidth="1"/>
    <col min="11023" max="11023" width="15.5703125" bestFit="1" customWidth="1"/>
    <col min="11265" max="11265" width="5.85546875" customWidth="1"/>
    <col min="11266" max="11266" width="15.42578125" bestFit="1" customWidth="1"/>
    <col min="11267" max="11267" width="15.140625" bestFit="1" customWidth="1"/>
    <col min="11268" max="11268" width="27.28515625" bestFit="1" customWidth="1"/>
    <col min="11269" max="11270" width="6.7109375" bestFit="1" customWidth="1"/>
    <col min="11271" max="11271" width="7.28515625" bestFit="1" customWidth="1"/>
    <col min="11272" max="11274" width="6.7109375" bestFit="1" customWidth="1"/>
    <col min="11275" max="11275" width="8.42578125" bestFit="1" customWidth="1"/>
    <col min="11276" max="11276" width="6" customWidth="1"/>
    <col min="11277" max="11277" width="5.85546875" customWidth="1"/>
    <col min="11279" max="11279" width="15.5703125" bestFit="1" customWidth="1"/>
    <col min="11521" max="11521" width="5.85546875" customWidth="1"/>
    <col min="11522" max="11522" width="15.42578125" bestFit="1" customWidth="1"/>
    <col min="11523" max="11523" width="15.140625" bestFit="1" customWidth="1"/>
    <col min="11524" max="11524" width="27.28515625" bestFit="1" customWidth="1"/>
    <col min="11525" max="11526" width="6.7109375" bestFit="1" customWidth="1"/>
    <col min="11527" max="11527" width="7.28515625" bestFit="1" customWidth="1"/>
    <col min="11528" max="11530" width="6.7109375" bestFit="1" customWidth="1"/>
    <col min="11531" max="11531" width="8.42578125" bestFit="1" customWidth="1"/>
    <col min="11532" max="11532" width="6" customWidth="1"/>
    <col min="11533" max="11533" width="5.85546875" customWidth="1"/>
    <col min="11535" max="11535" width="15.5703125" bestFit="1" customWidth="1"/>
    <col min="11777" max="11777" width="5.85546875" customWidth="1"/>
    <col min="11778" max="11778" width="15.42578125" bestFit="1" customWidth="1"/>
    <col min="11779" max="11779" width="15.140625" bestFit="1" customWidth="1"/>
    <col min="11780" max="11780" width="27.28515625" bestFit="1" customWidth="1"/>
    <col min="11781" max="11782" width="6.7109375" bestFit="1" customWidth="1"/>
    <col min="11783" max="11783" width="7.28515625" bestFit="1" customWidth="1"/>
    <col min="11784" max="11786" width="6.7109375" bestFit="1" customWidth="1"/>
    <col min="11787" max="11787" width="8.42578125" bestFit="1" customWidth="1"/>
    <col min="11788" max="11788" width="6" customWidth="1"/>
    <col min="11789" max="11789" width="5.85546875" customWidth="1"/>
    <col min="11791" max="11791" width="15.5703125" bestFit="1" customWidth="1"/>
    <col min="12033" max="12033" width="5.85546875" customWidth="1"/>
    <col min="12034" max="12034" width="15.42578125" bestFit="1" customWidth="1"/>
    <col min="12035" max="12035" width="15.140625" bestFit="1" customWidth="1"/>
    <col min="12036" max="12036" width="27.28515625" bestFit="1" customWidth="1"/>
    <col min="12037" max="12038" width="6.7109375" bestFit="1" customWidth="1"/>
    <col min="12039" max="12039" width="7.28515625" bestFit="1" customWidth="1"/>
    <col min="12040" max="12042" width="6.7109375" bestFit="1" customWidth="1"/>
    <col min="12043" max="12043" width="8.42578125" bestFit="1" customWidth="1"/>
    <col min="12044" max="12044" width="6" customWidth="1"/>
    <col min="12045" max="12045" width="5.85546875" customWidth="1"/>
    <col min="12047" max="12047" width="15.5703125" bestFit="1" customWidth="1"/>
    <col min="12289" max="12289" width="5.85546875" customWidth="1"/>
    <col min="12290" max="12290" width="15.42578125" bestFit="1" customWidth="1"/>
    <col min="12291" max="12291" width="15.140625" bestFit="1" customWidth="1"/>
    <col min="12292" max="12292" width="27.28515625" bestFit="1" customWidth="1"/>
    <col min="12293" max="12294" width="6.7109375" bestFit="1" customWidth="1"/>
    <col min="12295" max="12295" width="7.28515625" bestFit="1" customWidth="1"/>
    <col min="12296" max="12298" width="6.7109375" bestFit="1" customWidth="1"/>
    <col min="12299" max="12299" width="8.42578125" bestFit="1" customWidth="1"/>
    <col min="12300" max="12300" width="6" customWidth="1"/>
    <col min="12301" max="12301" width="5.85546875" customWidth="1"/>
    <col min="12303" max="12303" width="15.5703125" bestFit="1" customWidth="1"/>
    <col min="12545" max="12545" width="5.85546875" customWidth="1"/>
    <col min="12546" max="12546" width="15.42578125" bestFit="1" customWidth="1"/>
    <col min="12547" max="12547" width="15.140625" bestFit="1" customWidth="1"/>
    <col min="12548" max="12548" width="27.28515625" bestFit="1" customWidth="1"/>
    <col min="12549" max="12550" width="6.7109375" bestFit="1" customWidth="1"/>
    <col min="12551" max="12551" width="7.28515625" bestFit="1" customWidth="1"/>
    <col min="12552" max="12554" width="6.7109375" bestFit="1" customWidth="1"/>
    <col min="12555" max="12555" width="8.42578125" bestFit="1" customWidth="1"/>
    <col min="12556" max="12556" width="6" customWidth="1"/>
    <col min="12557" max="12557" width="5.85546875" customWidth="1"/>
    <col min="12559" max="12559" width="15.5703125" bestFit="1" customWidth="1"/>
    <col min="12801" max="12801" width="5.85546875" customWidth="1"/>
    <col min="12802" max="12802" width="15.42578125" bestFit="1" customWidth="1"/>
    <col min="12803" max="12803" width="15.140625" bestFit="1" customWidth="1"/>
    <col min="12804" max="12804" width="27.28515625" bestFit="1" customWidth="1"/>
    <col min="12805" max="12806" width="6.7109375" bestFit="1" customWidth="1"/>
    <col min="12807" max="12807" width="7.28515625" bestFit="1" customWidth="1"/>
    <col min="12808" max="12810" width="6.7109375" bestFit="1" customWidth="1"/>
    <col min="12811" max="12811" width="8.42578125" bestFit="1" customWidth="1"/>
    <col min="12812" max="12812" width="6" customWidth="1"/>
    <col min="12813" max="12813" width="5.85546875" customWidth="1"/>
    <col min="12815" max="12815" width="15.5703125" bestFit="1" customWidth="1"/>
    <col min="13057" max="13057" width="5.85546875" customWidth="1"/>
    <col min="13058" max="13058" width="15.42578125" bestFit="1" customWidth="1"/>
    <col min="13059" max="13059" width="15.140625" bestFit="1" customWidth="1"/>
    <col min="13060" max="13060" width="27.28515625" bestFit="1" customWidth="1"/>
    <col min="13061" max="13062" width="6.7109375" bestFit="1" customWidth="1"/>
    <col min="13063" max="13063" width="7.28515625" bestFit="1" customWidth="1"/>
    <col min="13064" max="13066" width="6.7109375" bestFit="1" customWidth="1"/>
    <col min="13067" max="13067" width="8.42578125" bestFit="1" customWidth="1"/>
    <col min="13068" max="13068" width="6" customWidth="1"/>
    <col min="13069" max="13069" width="5.85546875" customWidth="1"/>
    <col min="13071" max="13071" width="15.5703125" bestFit="1" customWidth="1"/>
    <col min="13313" max="13313" width="5.85546875" customWidth="1"/>
    <col min="13314" max="13314" width="15.42578125" bestFit="1" customWidth="1"/>
    <col min="13315" max="13315" width="15.140625" bestFit="1" customWidth="1"/>
    <col min="13316" max="13316" width="27.28515625" bestFit="1" customWidth="1"/>
    <col min="13317" max="13318" width="6.7109375" bestFit="1" customWidth="1"/>
    <col min="13319" max="13319" width="7.28515625" bestFit="1" customWidth="1"/>
    <col min="13320" max="13322" width="6.7109375" bestFit="1" customWidth="1"/>
    <col min="13323" max="13323" width="8.42578125" bestFit="1" customWidth="1"/>
    <col min="13324" max="13324" width="6" customWidth="1"/>
    <col min="13325" max="13325" width="5.85546875" customWidth="1"/>
    <col min="13327" max="13327" width="15.5703125" bestFit="1" customWidth="1"/>
    <col min="13569" max="13569" width="5.85546875" customWidth="1"/>
    <col min="13570" max="13570" width="15.42578125" bestFit="1" customWidth="1"/>
    <col min="13571" max="13571" width="15.140625" bestFit="1" customWidth="1"/>
    <col min="13572" max="13572" width="27.28515625" bestFit="1" customWidth="1"/>
    <col min="13573" max="13574" width="6.7109375" bestFit="1" customWidth="1"/>
    <col min="13575" max="13575" width="7.28515625" bestFit="1" customWidth="1"/>
    <col min="13576" max="13578" width="6.7109375" bestFit="1" customWidth="1"/>
    <col min="13579" max="13579" width="8.42578125" bestFit="1" customWidth="1"/>
    <col min="13580" max="13580" width="6" customWidth="1"/>
    <col min="13581" max="13581" width="5.85546875" customWidth="1"/>
    <col min="13583" max="13583" width="15.5703125" bestFit="1" customWidth="1"/>
    <col min="13825" max="13825" width="5.85546875" customWidth="1"/>
    <col min="13826" max="13826" width="15.42578125" bestFit="1" customWidth="1"/>
    <col min="13827" max="13827" width="15.140625" bestFit="1" customWidth="1"/>
    <col min="13828" max="13828" width="27.28515625" bestFit="1" customWidth="1"/>
    <col min="13829" max="13830" width="6.7109375" bestFit="1" customWidth="1"/>
    <col min="13831" max="13831" width="7.28515625" bestFit="1" customWidth="1"/>
    <col min="13832" max="13834" width="6.7109375" bestFit="1" customWidth="1"/>
    <col min="13835" max="13835" width="8.42578125" bestFit="1" customWidth="1"/>
    <col min="13836" max="13836" width="6" customWidth="1"/>
    <col min="13837" max="13837" width="5.85546875" customWidth="1"/>
    <col min="13839" max="13839" width="15.5703125" bestFit="1" customWidth="1"/>
    <col min="14081" max="14081" width="5.85546875" customWidth="1"/>
    <col min="14082" max="14082" width="15.42578125" bestFit="1" customWidth="1"/>
    <col min="14083" max="14083" width="15.140625" bestFit="1" customWidth="1"/>
    <col min="14084" max="14084" width="27.28515625" bestFit="1" customWidth="1"/>
    <col min="14085" max="14086" width="6.7109375" bestFit="1" customWidth="1"/>
    <col min="14087" max="14087" width="7.28515625" bestFit="1" customWidth="1"/>
    <col min="14088" max="14090" width="6.7109375" bestFit="1" customWidth="1"/>
    <col min="14091" max="14091" width="8.42578125" bestFit="1" customWidth="1"/>
    <col min="14092" max="14092" width="6" customWidth="1"/>
    <col min="14093" max="14093" width="5.85546875" customWidth="1"/>
    <col min="14095" max="14095" width="15.5703125" bestFit="1" customWidth="1"/>
    <col min="14337" max="14337" width="5.85546875" customWidth="1"/>
    <col min="14338" max="14338" width="15.42578125" bestFit="1" customWidth="1"/>
    <col min="14339" max="14339" width="15.140625" bestFit="1" customWidth="1"/>
    <col min="14340" max="14340" width="27.28515625" bestFit="1" customWidth="1"/>
    <col min="14341" max="14342" width="6.7109375" bestFit="1" customWidth="1"/>
    <col min="14343" max="14343" width="7.28515625" bestFit="1" customWidth="1"/>
    <col min="14344" max="14346" width="6.7109375" bestFit="1" customWidth="1"/>
    <col min="14347" max="14347" width="8.42578125" bestFit="1" customWidth="1"/>
    <col min="14348" max="14348" width="6" customWidth="1"/>
    <col min="14349" max="14349" width="5.85546875" customWidth="1"/>
    <col min="14351" max="14351" width="15.5703125" bestFit="1" customWidth="1"/>
    <col min="14593" max="14593" width="5.85546875" customWidth="1"/>
    <col min="14594" max="14594" width="15.42578125" bestFit="1" customWidth="1"/>
    <col min="14595" max="14595" width="15.140625" bestFit="1" customWidth="1"/>
    <col min="14596" max="14596" width="27.28515625" bestFit="1" customWidth="1"/>
    <col min="14597" max="14598" width="6.7109375" bestFit="1" customWidth="1"/>
    <col min="14599" max="14599" width="7.28515625" bestFit="1" customWidth="1"/>
    <col min="14600" max="14602" width="6.7109375" bestFit="1" customWidth="1"/>
    <col min="14603" max="14603" width="8.42578125" bestFit="1" customWidth="1"/>
    <col min="14604" max="14604" width="6" customWidth="1"/>
    <col min="14605" max="14605" width="5.85546875" customWidth="1"/>
    <col min="14607" max="14607" width="15.5703125" bestFit="1" customWidth="1"/>
    <col min="14849" max="14849" width="5.85546875" customWidth="1"/>
    <col min="14850" max="14850" width="15.42578125" bestFit="1" customWidth="1"/>
    <col min="14851" max="14851" width="15.140625" bestFit="1" customWidth="1"/>
    <col min="14852" max="14852" width="27.28515625" bestFit="1" customWidth="1"/>
    <col min="14853" max="14854" width="6.7109375" bestFit="1" customWidth="1"/>
    <col min="14855" max="14855" width="7.28515625" bestFit="1" customWidth="1"/>
    <col min="14856" max="14858" width="6.7109375" bestFit="1" customWidth="1"/>
    <col min="14859" max="14859" width="8.42578125" bestFit="1" customWidth="1"/>
    <col min="14860" max="14860" width="6" customWidth="1"/>
    <col min="14861" max="14861" width="5.85546875" customWidth="1"/>
    <col min="14863" max="14863" width="15.5703125" bestFit="1" customWidth="1"/>
    <col min="15105" max="15105" width="5.85546875" customWidth="1"/>
    <col min="15106" max="15106" width="15.42578125" bestFit="1" customWidth="1"/>
    <col min="15107" max="15107" width="15.140625" bestFit="1" customWidth="1"/>
    <col min="15108" max="15108" width="27.28515625" bestFit="1" customWidth="1"/>
    <col min="15109" max="15110" width="6.7109375" bestFit="1" customWidth="1"/>
    <col min="15111" max="15111" width="7.28515625" bestFit="1" customWidth="1"/>
    <col min="15112" max="15114" width="6.7109375" bestFit="1" customWidth="1"/>
    <col min="15115" max="15115" width="8.42578125" bestFit="1" customWidth="1"/>
    <col min="15116" max="15116" width="6" customWidth="1"/>
    <col min="15117" max="15117" width="5.85546875" customWidth="1"/>
    <col min="15119" max="15119" width="15.5703125" bestFit="1" customWidth="1"/>
    <col min="15361" max="15361" width="5.85546875" customWidth="1"/>
    <col min="15362" max="15362" width="15.42578125" bestFit="1" customWidth="1"/>
    <col min="15363" max="15363" width="15.140625" bestFit="1" customWidth="1"/>
    <col min="15364" max="15364" width="27.28515625" bestFit="1" customWidth="1"/>
    <col min="15365" max="15366" width="6.7109375" bestFit="1" customWidth="1"/>
    <col min="15367" max="15367" width="7.28515625" bestFit="1" customWidth="1"/>
    <col min="15368" max="15370" width="6.7109375" bestFit="1" customWidth="1"/>
    <col min="15371" max="15371" width="8.42578125" bestFit="1" customWidth="1"/>
    <col min="15372" max="15372" width="6" customWidth="1"/>
    <col min="15373" max="15373" width="5.85546875" customWidth="1"/>
    <col min="15375" max="15375" width="15.5703125" bestFit="1" customWidth="1"/>
    <col min="15617" max="15617" width="5.85546875" customWidth="1"/>
    <col min="15618" max="15618" width="15.42578125" bestFit="1" customWidth="1"/>
    <col min="15619" max="15619" width="15.140625" bestFit="1" customWidth="1"/>
    <col min="15620" max="15620" width="27.28515625" bestFit="1" customWidth="1"/>
    <col min="15621" max="15622" width="6.7109375" bestFit="1" customWidth="1"/>
    <col min="15623" max="15623" width="7.28515625" bestFit="1" customWidth="1"/>
    <col min="15624" max="15626" width="6.7109375" bestFit="1" customWidth="1"/>
    <col min="15627" max="15627" width="8.42578125" bestFit="1" customWidth="1"/>
    <col min="15628" max="15628" width="6" customWidth="1"/>
    <col min="15629" max="15629" width="5.85546875" customWidth="1"/>
    <col min="15631" max="15631" width="15.5703125" bestFit="1" customWidth="1"/>
    <col min="15873" max="15873" width="5.85546875" customWidth="1"/>
    <col min="15874" max="15874" width="15.42578125" bestFit="1" customWidth="1"/>
    <col min="15875" max="15875" width="15.140625" bestFit="1" customWidth="1"/>
    <col min="15876" max="15876" width="27.28515625" bestFit="1" customWidth="1"/>
    <col min="15877" max="15878" width="6.7109375" bestFit="1" customWidth="1"/>
    <col min="15879" max="15879" width="7.28515625" bestFit="1" customWidth="1"/>
    <col min="15880" max="15882" width="6.7109375" bestFit="1" customWidth="1"/>
    <col min="15883" max="15883" width="8.42578125" bestFit="1" customWidth="1"/>
    <col min="15884" max="15884" width="6" customWidth="1"/>
    <col min="15885" max="15885" width="5.85546875" customWidth="1"/>
    <col min="15887" max="15887" width="15.5703125" bestFit="1" customWidth="1"/>
    <col min="16129" max="16129" width="5.85546875" customWidth="1"/>
    <col min="16130" max="16130" width="15.42578125" bestFit="1" customWidth="1"/>
    <col min="16131" max="16131" width="15.140625" bestFit="1" customWidth="1"/>
    <col min="16132" max="16132" width="27.28515625" bestFit="1" customWidth="1"/>
    <col min="16133" max="16134" width="6.7109375" bestFit="1" customWidth="1"/>
    <col min="16135" max="16135" width="7.28515625" bestFit="1" customWidth="1"/>
    <col min="16136" max="16138" width="6.7109375" bestFit="1" customWidth="1"/>
    <col min="16139" max="16139" width="8.42578125" bestFit="1" customWidth="1"/>
    <col min="16140" max="16140" width="6" customWidth="1"/>
    <col min="16141" max="16141" width="5.85546875" customWidth="1"/>
    <col min="16143" max="16143" width="15.5703125" bestFit="1" customWidth="1"/>
  </cols>
  <sheetData>
    <row r="1" spans="1:17" ht="23.25">
      <c r="A1" s="77" t="s">
        <v>1538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17" ht="20.25">
      <c r="A2" s="78" t="s">
        <v>1559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9"/>
      <c r="O2" s="10"/>
      <c r="P2" s="11"/>
      <c r="Q2" s="11"/>
    </row>
    <row r="3" spans="1:17" ht="12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3"/>
      <c r="O3" s="13"/>
    </row>
    <row r="4" spans="1:17" ht="20.25">
      <c r="A4" s="14" t="s">
        <v>1540</v>
      </c>
      <c r="B4" s="15" t="s">
        <v>1541</v>
      </c>
      <c r="C4" s="15" t="s">
        <v>1542</v>
      </c>
      <c r="D4" s="15" t="s">
        <v>1543</v>
      </c>
      <c r="E4" s="14" t="s">
        <v>1544</v>
      </c>
      <c r="F4" s="14" t="s">
        <v>1545</v>
      </c>
      <c r="G4" s="14" t="s">
        <v>1546</v>
      </c>
      <c r="H4" s="14" t="s">
        <v>1547</v>
      </c>
      <c r="I4" s="14" t="s">
        <v>1548</v>
      </c>
      <c r="J4" s="14" t="s">
        <v>1549</v>
      </c>
      <c r="K4" s="16" t="s">
        <v>1550</v>
      </c>
      <c r="L4" s="13"/>
    </row>
    <row r="5" spans="1:17" ht="12" customHeight="1" thickBot="1">
      <c r="A5" s="12"/>
      <c r="B5" s="17"/>
      <c r="C5" s="17"/>
      <c r="D5" s="17"/>
      <c r="E5" s="12"/>
      <c r="F5" s="12"/>
      <c r="G5" s="12"/>
      <c r="H5" s="12"/>
      <c r="I5" s="12"/>
      <c r="J5" s="12"/>
      <c r="K5" s="13"/>
      <c r="L5" s="13"/>
    </row>
    <row r="6" spans="1:17" ht="21" thickBot="1">
      <c r="A6" s="18">
        <v>1</v>
      </c>
      <c r="B6" s="19" t="s">
        <v>1063</v>
      </c>
      <c r="C6" s="20" t="s">
        <v>1064</v>
      </c>
      <c r="D6" s="20" t="s">
        <v>827</v>
      </c>
      <c r="E6" s="21">
        <v>234</v>
      </c>
      <c r="F6" s="21">
        <v>266</v>
      </c>
      <c r="G6" s="21">
        <v>222</v>
      </c>
      <c r="H6" s="22">
        <v>202</v>
      </c>
      <c r="I6" s="21">
        <v>167</v>
      </c>
      <c r="J6" s="21">
        <v>213</v>
      </c>
      <c r="K6" s="23">
        <v>1304</v>
      </c>
      <c r="L6" s="13"/>
    </row>
    <row r="7" spans="1:17" ht="21" thickBot="1">
      <c r="A7" s="18">
        <f>A6+1</f>
        <v>2</v>
      </c>
      <c r="B7" s="24" t="s">
        <v>1236</v>
      </c>
      <c r="C7" s="25" t="s">
        <v>1470</v>
      </c>
      <c r="D7" s="25" t="s">
        <v>817</v>
      </c>
      <c r="E7" s="26">
        <v>214</v>
      </c>
      <c r="F7" s="26">
        <v>188</v>
      </c>
      <c r="G7" s="26">
        <v>214</v>
      </c>
      <c r="H7" s="27">
        <v>265</v>
      </c>
      <c r="I7" s="26">
        <v>213</v>
      </c>
      <c r="J7" s="26">
        <v>206</v>
      </c>
      <c r="K7" s="23">
        <v>1300</v>
      </c>
      <c r="L7" s="13"/>
    </row>
    <row r="8" spans="1:17" ht="21" thickBot="1">
      <c r="A8" s="18">
        <f t="shared" ref="A8:A71" si="0">A7+1</f>
        <v>3</v>
      </c>
      <c r="B8" s="24" t="s">
        <v>1068</v>
      </c>
      <c r="C8" s="25" t="s">
        <v>1468</v>
      </c>
      <c r="D8" s="25" t="s">
        <v>464</v>
      </c>
      <c r="E8" s="26">
        <v>235</v>
      </c>
      <c r="F8" s="26">
        <v>246</v>
      </c>
      <c r="G8" s="26">
        <v>194</v>
      </c>
      <c r="H8" s="27">
        <v>138</v>
      </c>
      <c r="I8" s="26">
        <v>235</v>
      </c>
      <c r="J8" s="26">
        <v>248</v>
      </c>
      <c r="K8" s="23">
        <v>1296</v>
      </c>
      <c r="L8" s="13"/>
    </row>
    <row r="9" spans="1:17" ht="21" thickBot="1">
      <c r="A9" s="18">
        <f t="shared" si="0"/>
        <v>4</v>
      </c>
      <c r="B9" s="28" t="s">
        <v>1045</v>
      </c>
      <c r="C9" s="29" t="s">
        <v>1046</v>
      </c>
      <c r="D9" s="29" t="s">
        <v>205</v>
      </c>
      <c r="E9" s="30">
        <v>193</v>
      </c>
      <c r="F9" s="30">
        <v>179</v>
      </c>
      <c r="G9" s="30">
        <v>184</v>
      </c>
      <c r="H9" s="31">
        <v>268</v>
      </c>
      <c r="I9" s="30">
        <v>210</v>
      </c>
      <c r="J9" s="30">
        <v>246</v>
      </c>
      <c r="K9" s="23">
        <v>1280</v>
      </c>
      <c r="L9" s="13"/>
    </row>
    <row r="10" spans="1:17" ht="21" thickBot="1">
      <c r="A10" s="18">
        <f t="shared" si="0"/>
        <v>5</v>
      </c>
      <c r="B10" s="32" t="s">
        <v>193</v>
      </c>
      <c r="C10" s="33" t="s">
        <v>1435</v>
      </c>
      <c r="D10" s="33" t="s">
        <v>729</v>
      </c>
      <c r="E10" s="30">
        <v>177</v>
      </c>
      <c r="F10" s="30">
        <v>247</v>
      </c>
      <c r="G10" s="30">
        <v>257</v>
      </c>
      <c r="H10" s="31">
        <v>180</v>
      </c>
      <c r="I10" s="30">
        <v>220</v>
      </c>
      <c r="J10" s="30">
        <v>192</v>
      </c>
      <c r="K10" s="23">
        <v>1273</v>
      </c>
      <c r="L10" s="13"/>
    </row>
    <row r="11" spans="1:17" ht="21" thickBot="1">
      <c r="A11" s="18">
        <f t="shared" si="0"/>
        <v>6</v>
      </c>
      <c r="B11" s="32" t="s">
        <v>1260</v>
      </c>
      <c r="C11" s="33" t="s">
        <v>1472</v>
      </c>
      <c r="D11" s="33" t="s">
        <v>817</v>
      </c>
      <c r="E11" s="30">
        <v>190</v>
      </c>
      <c r="F11" s="30">
        <v>213</v>
      </c>
      <c r="G11" s="30">
        <v>193</v>
      </c>
      <c r="H11" s="31">
        <v>228</v>
      </c>
      <c r="I11" s="30">
        <v>173</v>
      </c>
      <c r="J11" s="30">
        <v>269</v>
      </c>
      <c r="K11" s="23">
        <v>1266</v>
      </c>
      <c r="L11" s="13"/>
    </row>
    <row r="12" spans="1:17" ht="21" thickBot="1">
      <c r="A12" s="18">
        <f t="shared" si="0"/>
        <v>7</v>
      </c>
      <c r="B12" s="32" t="s">
        <v>1086</v>
      </c>
      <c r="C12" s="33" t="s">
        <v>1087</v>
      </c>
      <c r="D12" s="33" t="s">
        <v>479</v>
      </c>
      <c r="E12" s="30">
        <v>200</v>
      </c>
      <c r="F12" s="30">
        <v>246</v>
      </c>
      <c r="G12" s="30">
        <v>176</v>
      </c>
      <c r="H12" s="31">
        <v>205</v>
      </c>
      <c r="I12" s="30">
        <v>268</v>
      </c>
      <c r="J12" s="30">
        <v>170</v>
      </c>
      <c r="K12" s="23">
        <v>1265</v>
      </c>
      <c r="L12" s="13"/>
    </row>
    <row r="13" spans="1:17" ht="21" thickBot="1">
      <c r="A13" s="18">
        <f t="shared" si="0"/>
        <v>8</v>
      </c>
      <c r="B13" s="32" t="s">
        <v>986</v>
      </c>
      <c r="C13" s="33" t="s">
        <v>1465</v>
      </c>
      <c r="D13" s="33" t="s">
        <v>501</v>
      </c>
      <c r="E13" s="30">
        <v>210</v>
      </c>
      <c r="F13" s="30">
        <v>220</v>
      </c>
      <c r="G13" s="30">
        <v>178</v>
      </c>
      <c r="H13" s="31">
        <v>196</v>
      </c>
      <c r="I13" s="30">
        <v>224</v>
      </c>
      <c r="J13" s="30">
        <v>225</v>
      </c>
      <c r="K13" s="23">
        <v>1253</v>
      </c>
      <c r="L13" s="34"/>
    </row>
    <row r="14" spans="1:17" ht="21" thickBot="1">
      <c r="A14" s="18">
        <f t="shared" si="0"/>
        <v>9</v>
      </c>
      <c r="B14" s="28" t="s">
        <v>1130</v>
      </c>
      <c r="C14" s="29" t="s">
        <v>1131</v>
      </c>
      <c r="D14" s="29" t="s">
        <v>790</v>
      </c>
      <c r="E14" s="30">
        <v>207</v>
      </c>
      <c r="F14" s="30">
        <v>209</v>
      </c>
      <c r="G14" s="30">
        <v>182</v>
      </c>
      <c r="H14" s="31">
        <v>206</v>
      </c>
      <c r="I14" s="30">
        <v>194</v>
      </c>
      <c r="J14" s="30">
        <v>254</v>
      </c>
      <c r="K14" s="23">
        <v>1252</v>
      </c>
      <c r="L14" s="13"/>
    </row>
    <row r="15" spans="1:17" ht="21" thickBot="1">
      <c r="A15" s="18">
        <f t="shared" si="0"/>
        <v>10</v>
      </c>
      <c r="B15" s="32" t="s">
        <v>1170</v>
      </c>
      <c r="C15" s="33" t="s">
        <v>158</v>
      </c>
      <c r="D15" s="33" t="s">
        <v>729</v>
      </c>
      <c r="E15" s="30">
        <v>206</v>
      </c>
      <c r="F15" s="30">
        <v>220</v>
      </c>
      <c r="G15" s="30">
        <v>191</v>
      </c>
      <c r="H15" s="31">
        <v>244</v>
      </c>
      <c r="I15" s="30">
        <v>171</v>
      </c>
      <c r="J15" s="30">
        <v>220</v>
      </c>
      <c r="K15" s="23">
        <v>1252</v>
      </c>
      <c r="L15" s="13"/>
    </row>
    <row r="16" spans="1:17" ht="21" thickBot="1">
      <c r="A16" s="18">
        <f t="shared" si="0"/>
        <v>11</v>
      </c>
      <c r="B16" s="32" t="s">
        <v>971</v>
      </c>
      <c r="C16" s="33" t="s">
        <v>972</v>
      </c>
      <c r="D16" s="33" t="s">
        <v>167</v>
      </c>
      <c r="E16" s="30">
        <v>201</v>
      </c>
      <c r="F16" s="30">
        <v>258</v>
      </c>
      <c r="G16" s="30">
        <v>180</v>
      </c>
      <c r="H16" s="31">
        <v>199</v>
      </c>
      <c r="I16" s="30">
        <v>189</v>
      </c>
      <c r="J16" s="30">
        <v>219</v>
      </c>
      <c r="K16" s="23">
        <v>1246</v>
      </c>
      <c r="L16" s="13"/>
    </row>
    <row r="17" spans="1:14" ht="16.5" thickBot="1">
      <c r="A17" s="18">
        <f t="shared" si="0"/>
        <v>12</v>
      </c>
      <c r="B17" s="32" t="s">
        <v>97</v>
      </c>
      <c r="C17" s="33" t="s">
        <v>1074</v>
      </c>
      <c r="D17" s="33" t="s">
        <v>827</v>
      </c>
      <c r="E17" s="30">
        <v>191</v>
      </c>
      <c r="F17" s="30">
        <v>220</v>
      </c>
      <c r="G17" s="30">
        <v>198</v>
      </c>
      <c r="H17" s="31">
        <v>235</v>
      </c>
      <c r="I17" s="30">
        <v>187</v>
      </c>
      <c r="J17" s="30">
        <v>214</v>
      </c>
      <c r="K17" s="23">
        <v>1245</v>
      </c>
    </row>
    <row r="18" spans="1:14" ht="16.5" thickBot="1">
      <c r="A18" s="18">
        <f t="shared" si="0"/>
        <v>13</v>
      </c>
      <c r="B18" s="28" t="s">
        <v>1245</v>
      </c>
      <c r="C18" s="29" t="s">
        <v>1246</v>
      </c>
      <c r="D18" s="29" t="s">
        <v>626</v>
      </c>
      <c r="E18" s="30">
        <v>201</v>
      </c>
      <c r="F18" s="30">
        <v>188</v>
      </c>
      <c r="G18" s="30">
        <v>188</v>
      </c>
      <c r="H18" s="31">
        <v>167</v>
      </c>
      <c r="I18" s="30">
        <v>255</v>
      </c>
      <c r="J18" s="30">
        <v>243</v>
      </c>
      <c r="K18" s="23">
        <v>1242</v>
      </c>
    </row>
    <row r="19" spans="1:14" ht="16.5" thickBot="1">
      <c r="A19" s="18">
        <f t="shared" si="0"/>
        <v>14</v>
      </c>
      <c r="B19" s="28" t="s">
        <v>1379</v>
      </c>
      <c r="C19" s="29" t="s">
        <v>1380</v>
      </c>
      <c r="D19" s="29" t="s">
        <v>514</v>
      </c>
      <c r="E19" s="30">
        <v>225</v>
      </c>
      <c r="F19" s="30">
        <v>182</v>
      </c>
      <c r="G19" s="30">
        <v>178</v>
      </c>
      <c r="H19" s="31">
        <v>232</v>
      </c>
      <c r="I19" s="30">
        <v>205</v>
      </c>
      <c r="J19" s="30">
        <v>220</v>
      </c>
      <c r="K19" s="23">
        <v>1242</v>
      </c>
      <c r="L19" s="35"/>
      <c r="M19" s="35"/>
      <c r="N19" s="35"/>
    </row>
    <row r="20" spans="1:14" ht="16.5" thickBot="1">
      <c r="A20" s="18">
        <f t="shared" si="0"/>
        <v>15</v>
      </c>
      <c r="B20" s="32" t="s">
        <v>1245</v>
      </c>
      <c r="C20" s="33" t="s">
        <v>762</v>
      </c>
      <c r="D20" s="33" t="s">
        <v>464</v>
      </c>
      <c r="E20" s="30">
        <v>259</v>
      </c>
      <c r="F20" s="30">
        <v>242</v>
      </c>
      <c r="G20" s="30">
        <v>177</v>
      </c>
      <c r="H20" s="31">
        <v>206</v>
      </c>
      <c r="I20" s="30">
        <v>149</v>
      </c>
      <c r="J20" s="30">
        <v>202</v>
      </c>
      <c r="K20" s="23">
        <v>1235</v>
      </c>
    </row>
    <row r="21" spans="1:14" ht="16.5" thickBot="1">
      <c r="A21" s="18">
        <f t="shared" si="0"/>
        <v>16</v>
      </c>
      <c r="B21" s="28" t="s">
        <v>907</v>
      </c>
      <c r="C21" s="29" t="s">
        <v>623</v>
      </c>
      <c r="D21" s="29" t="s">
        <v>695</v>
      </c>
      <c r="E21" s="30">
        <v>170</v>
      </c>
      <c r="F21" s="30">
        <v>165</v>
      </c>
      <c r="G21" s="30">
        <v>196</v>
      </c>
      <c r="H21" s="31">
        <v>222</v>
      </c>
      <c r="I21" s="30">
        <v>214</v>
      </c>
      <c r="J21" s="30">
        <v>267</v>
      </c>
      <c r="K21" s="23">
        <v>1234</v>
      </c>
    </row>
    <row r="22" spans="1:14" ht="16.5" thickBot="1">
      <c r="A22" s="18">
        <f t="shared" si="0"/>
        <v>17</v>
      </c>
      <c r="B22" s="32" t="s">
        <v>97</v>
      </c>
      <c r="C22" s="33" t="s">
        <v>1023</v>
      </c>
      <c r="D22" s="33" t="s">
        <v>438</v>
      </c>
      <c r="E22" s="30">
        <v>231</v>
      </c>
      <c r="F22" s="30">
        <v>213</v>
      </c>
      <c r="G22" s="30">
        <v>137</v>
      </c>
      <c r="H22" s="31">
        <v>240</v>
      </c>
      <c r="I22" s="30">
        <v>215</v>
      </c>
      <c r="J22" s="30">
        <v>192</v>
      </c>
      <c r="K22" s="23">
        <v>1228</v>
      </c>
    </row>
    <row r="23" spans="1:14" ht="16.5" thickBot="1">
      <c r="A23" s="18">
        <f t="shared" si="0"/>
        <v>18</v>
      </c>
      <c r="B23" s="32" t="s">
        <v>1156</v>
      </c>
      <c r="C23" s="33" t="s">
        <v>1283</v>
      </c>
      <c r="D23" s="33" t="s">
        <v>654</v>
      </c>
      <c r="E23" s="30">
        <v>156</v>
      </c>
      <c r="F23" s="30">
        <v>224</v>
      </c>
      <c r="G23" s="30">
        <v>201</v>
      </c>
      <c r="H23" s="31">
        <v>243</v>
      </c>
      <c r="I23" s="30">
        <v>199</v>
      </c>
      <c r="J23" s="30">
        <v>203</v>
      </c>
      <c r="K23" s="23">
        <v>1226</v>
      </c>
    </row>
    <row r="24" spans="1:14" ht="16.5" thickBot="1">
      <c r="A24" s="18">
        <f t="shared" si="0"/>
        <v>19</v>
      </c>
      <c r="B24" s="32" t="s">
        <v>272</v>
      </c>
      <c r="C24" s="33" t="s">
        <v>1282</v>
      </c>
      <c r="D24" s="33" t="s">
        <v>654</v>
      </c>
      <c r="E24" s="30">
        <v>231</v>
      </c>
      <c r="F24" s="30">
        <v>235</v>
      </c>
      <c r="G24" s="30">
        <v>184</v>
      </c>
      <c r="H24" s="31">
        <v>161</v>
      </c>
      <c r="I24" s="30">
        <v>226</v>
      </c>
      <c r="J24" s="30">
        <v>185</v>
      </c>
      <c r="K24" s="23">
        <v>1222</v>
      </c>
    </row>
    <row r="25" spans="1:14" ht="16.5" thickBot="1">
      <c r="A25" s="18">
        <f t="shared" si="0"/>
        <v>20</v>
      </c>
      <c r="B25" s="32" t="s">
        <v>984</v>
      </c>
      <c r="C25" s="33" t="s">
        <v>1296</v>
      </c>
      <c r="D25" s="33" t="s">
        <v>1289</v>
      </c>
      <c r="E25" s="30">
        <v>226</v>
      </c>
      <c r="F25" s="30">
        <v>234</v>
      </c>
      <c r="G25" s="30">
        <v>183</v>
      </c>
      <c r="H25" s="31">
        <v>205</v>
      </c>
      <c r="I25" s="30">
        <v>195</v>
      </c>
      <c r="J25" s="30">
        <v>174</v>
      </c>
      <c r="K25" s="23">
        <v>1217</v>
      </c>
    </row>
    <row r="26" spans="1:14" ht="16.5" thickBot="1">
      <c r="A26" s="18">
        <f t="shared" si="0"/>
        <v>21</v>
      </c>
      <c r="B26" s="32" t="s">
        <v>1343</v>
      </c>
      <c r="C26" s="33" t="s">
        <v>1344</v>
      </c>
      <c r="D26" s="33" t="s">
        <v>1339</v>
      </c>
      <c r="E26" s="30">
        <v>159</v>
      </c>
      <c r="F26" s="30">
        <v>211</v>
      </c>
      <c r="G26" s="30">
        <v>256</v>
      </c>
      <c r="H26" s="31">
        <v>210</v>
      </c>
      <c r="I26" s="30">
        <v>185</v>
      </c>
      <c r="J26" s="30">
        <v>196</v>
      </c>
      <c r="K26" s="23">
        <v>1217</v>
      </c>
    </row>
    <row r="27" spans="1:14" ht="16.5" thickBot="1">
      <c r="A27" s="18">
        <f t="shared" si="0"/>
        <v>22</v>
      </c>
      <c r="B27" s="36" t="s">
        <v>1181</v>
      </c>
      <c r="C27" s="37" t="s">
        <v>267</v>
      </c>
      <c r="D27" s="37" t="s">
        <v>464</v>
      </c>
      <c r="E27" s="30">
        <v>225</v>
      </c>
      <c r="F27" s="30">
        <v>182</v>
      </c>
      <c r="G27" s="30">
        <v>190</v>
      </c>
      <c r="H27" s="31">
        <v>195</v>
      </c>
      <c r="I27" s="30">
        <v>164</v>
      </c>
      <c r="J27" s="30">
        <v>258</v>
      </c>
      <c r="K27" s="23">
        <v>1214</v>
      </c>
    </row>
    <row r="28" spans="1:14" ht="16.5" thickBot="1">
      <c r="A28" s="18">
        <f t="shared" si="0"/>
        <v>23</v>
      </c>
      <c r="B28" s="36" t="s">
        <v>1070</v>
      </c>
      <c r="C28" s="37" t="s">
        <v>1123</v>
      </c>
      <c r="D28" s="37" t="s">
        <v>304</v>
      </c>
      <c r="E28" s="30">
        <v>193</v>
      </c>
      <c r="F28" s="30">
        <v>160</v>
      </c>
      <c r="G28" s="30">
        <v>200</v>
      </c>
      <c r="H28" s="31">
        <v>149</v>
      </c>
      <c r="I28" s="30">
        <v>257</v>
      </c>
      <c r="J28" s="30">
        <v>247</v>
      </c>
      <c r="K28" s="23">
        <v>1206</v>
      </c>
    </row>
    <row r="29" spans="1:14" ht="16.5" thickBot="1">
      <c r="A29" s="18">
        <f t="shared" si="0"/>
        <v>24</v>
      </c>
      <c r="B29" s="36" t="s">
        <v>1175</v>
      </c>
      <c r="C29" s="37" t="s">
        <v>1201</v>
      </c>
      <c r="D29" s="37" t="s">
        <v>1199</v>
      </c>
      <c r="E29" s="30">
        <v>172</v>
      </c>
      <c r="F29" s="30">
        <v>171</v>
      </c>
      <c r="G29" s="30">
        <v>228</v>
      </c>
      <c r="H29" s="31">
        <v>181</v>
      </c>
      <c r="I29" s="30">
        <v>210</v>
      </c>
      <c r="J29" s="30">
        <v>241</v>
      </c>
      <c r="K29" s="23">
        <v>1203</v>
      </c>
    </row>
    <row r="30" spans="1:14" ht="16.5" thickBot="1">
      <c r="A30" s="18">
        <f t="shared" si="0"/>
        <v>25</v>
      </c>
      <c r="B30" s="36" t="s">
        <v>1213</v>
      </c>
      <c r="C30" s="37" t="s">
        <v>1214</v>
      </c>
      <c r="D30" s="37" t="s">
        <v>331</v>
      </c>
      <c r="E30" s="30">
        <v>215</v>
      </c>
      <c r="F30" s="30">
        <v>128</v>
      </c>
      <c r="G30" s="30">
        <v>205</v>
      </c>
      <c r="H30" s="31">
        <v>214</v>
      </c>
      <c r="I30" s="30">
        <v>198</v>
      </c>
      <c r="J30" s="30">
        <v>242</v>
      </c>
      <c r="K30" s="23">
        <v>1202</v>
      </c>
    </row>
    <row r="31" spans="1:14" ht="16.5" thickBot="1">
      <c r="A31" s="18">
        <f t="shared" si="0"/>
        <v>26</v>
      </c>
      <c r="B31" s="36" t="s">
        <v>1307</v>
      </c>
      <c r="C31" s="37" t="s">
        <v>1308</v>
      </c>
      <c r="D31" s="37" t="s">
        <v>1306</v>
      </c>
      <c r="E31" s="30">
        <v>180</v>
      </c>
      <c r="F31" s="30">
        <v>208</v>
      </c>
      <c r="G31" s="30">
        <v>185</v>
      </c>
      <c r="H31" s="31">
        <v>188</v>
      </c>
      <c r="I31" s="30">
        <v>193</v>
      </c>
      <c r="J31" s="30">
        <v>248</v>
      </c>
      <c r="K31" s="23">
        <v>1202</v>
      </c>
    </row>
    <row r="32" spans="1:14" ht="16.5" thickBot="1">
      <c r="A32" s="18">
        <f t="shared" si="0"/>
        <v>27</v>
      </c>
      <c r="B32" s="36" t="s">
        <v>1030</v>
      </c>
      <c r="C32" s="37" t="s">
        <v>1031</v>
      </c>
      <c r="D32" s="37" t="s">
        <v>1024</v>
      </c>
      <c r="E32" s="30">
        <v>178</v>
      </c>
      <c r="F32" s="30">
        <v>209</v>
      </c>
      <c r="G32" s="30">
        <v>213</v>
      </c>
      <c r="H32" s="31">
        <v>205</v>
      </c>
      <c r="I32" s="30">
        <v>212</v>
      </c>
      <c r="J32" s="30">
        <v>182</v>
      </c>
      <c r="K32" s="23">
        <v>1199</v>
      </c>
    </row>
    <row r="33" spans="1:11" ht="16.5" thickBot="1">
      <c r="A33" s="18">
        <f t="shared" si="0"/>
        <v>28</v>
      </c>
      <c r="B33" s="36" t="s">
        <v>1458</v>
      </c>
      <c r="C33" s="37" t="s">
        <v>1459</v>
      </c>
      <c r="D33" s="37" t="s">
        <v>501</v>
      </c>
      <c r="E33" s="30">
        <v>247</v>
      </c>
      <c r="F33" s="30">
        <v>200</v>
      </c>
      <c r="G33" s="30">
        <v>176</v>
      </c>
      <c r="H33" s="31">
        <v>217</v>
      </c>
      <c r="I33" s="30">
        <v>174</v>
      </c>
      <c r="J33" s="30">
        <v>185</v>
      </c>
      <c r="K33" s="23">
        <v>1199</v>
      </c>
    </row>
    <row r="34" spans="1:11" ht="16.5" thickBot="1">
      <c r="A34" s="18">
        <f t="shared" si="0"/>
        <v>29</v>
      </c>
      <c r="B34" s="36" t="s">
        <v>988</v>
      </c>
      <c r="C34" s="37" t="s">
        <v>989</v>
      </c>
      <c r="D34" s="37" t="s">
        <v>425</v>
      </c>
      <c r="E34" s="30">
        <v>183</v>
      </c>
      <c r="F34" s="30">
        <v>256</v>
      </c>
      <c r="G34" s="30">
        <v>173</v>
      </c>
      <c r="H34" s="31">
        <v>216</v>
      </c>
      <c r="I34" s="30">
        <v>188</v>
      </c>
      <c r="J34" s="30">
        <v>179</v>
      </c>
      <c r="K34" s="23">
        <v>1195</v>
      </c>
    </row>
    <row r="35" spans="1:11" ht="16.5" thickBot="1">
      <c r="A35" s="18">
        <f t="shared" si="0"/>
        <v>30</v>
      </c>
      <c r="B35" s="36" t="s">
        <v>1194</v>
      </c>
      <c r="C35" s="37" t="s">
        <v>1195</v>
      </c>
      <c r="D35" s="37" t="s">
        <v>695</v>
      </c>
      <c r="E35" s="30">
        <v>197</v>
      </c>
      <c r="F35" s="30">
        <v>207</v>
      </c>
      <c r="G35" s="30">
        <v>167</v>
      </c>
      <c r="H35" s="31">
        <v>236</v>
      </c>
      <c r="I35" s="30">
        <v>213</v>
      </c>
      <c r="J35" s="30">
        <v>174</v>
      </c>
      <c r="K35" s="23">
        <v>1194</v>
      </c>
    </row>
    <row r="36" spans="1:11" ht="16.5" thickBot="1">
      <c r="A36" s="18">
        <f t="shared" si="0"/>
        <v>31</v>
      </c>
      <c r="B36" s="36" t="s">
        <v>986</v>
      </c>
      <c r="C36" s="37" t="s">
        <v>987</v>
      </c>
      <c r="D36" s="37" t="s">
        <v>281</v>
      </c>
      <c r="E36" s="38">
        <v>174</v>
      </c>
      <c r="F36" s="38">
        <v>187</v>
      </c>
      <c r="G36" s="38">
        <v>193</v>
      </c>
      <c r="H36" s="31">
        <v>227</v>
      </c>
      <c r="I36" s="38">
        <v>192</v>
      </c>
      <c r="J36" s="38">
        <v>220</v>
      </c>
      <c r="K36" s="23">
        <v>1193</v>
      </c>
    </row>
    <row r="37" spans="1:11" ht="16.5" thickBot="1">
      <c r="A37" s="18">
        <f t="shared" si="0"/>
        <v>32</v>
      </c>
      <c r="B37" s="36" t="s">
        <v>1137</v>
      </c>
      <c r="C37" s="37" t="s">
        <v>133</v>
      </c>
      <c r="D37" s="37" t="s">
        <v>127</v>
      </c>
      <c r="E37" s="38">
        <v>211</v>
      </c>
      <c r="F37" s="38">
        <v>204</v>
      </c>
      <c r="G37" s="38">
        <v>190</v>
      </c>
      <c r="H37" s="31">
        <v>201</v>
      </c>
      <c r="I37" s="38">
        <v>192</v>
      </c>
      <c r="J37" s="38">
        <v>191</v>
      </c>
      <c r="K37" s="23">
        <v>1189</v>
      </c>
    </row>
    <row r="38" spans="1:11" ht="16.5" thickBot="1">
      <c r="A38" s="18">
        <f t="shared" si="0"/>
        <v>33</v>
      </c>
      <c r="B38" s="36" t="s">
        <v>400</v>
      </c>
      <c r="C38" s="37" t="s">
        <v>1509</v>
      </c>
      <c r="D38" s="37" t="s">
        <v>363</v>
      </c>
      <c r="E38" s="38">
        <v>245</v>
      </c>
      <c r="F38" s="38">
        <v>156</v>
      </c>
      <c r="G38" s="38">
        <v>193</v>
      </c>
      <c r="H38" s="31">
        <v>202</v>
      </c>
      <c r="I38" s="38">
        <v>168</v>
      </c>
      <c r="J38" s="38">
        <v>225</v>
      </c>
      <c r="K38" s="23">
        <v>1189</v>
      </c>
    </row>
    <row r="39" spans="1:11" ht="16.5" thickBot="1">
      <c r="A39" s="18">
        <f t="shared" si="0"/>
        <v>34</v>
      </c>
      <c r="B39" s="36" t="s">
        <v>1217</v>
      </c>
      <c r="C39" s="37" t="s">
        <v>427</v>
      </c>
      <c r="D39" s="37" t="s">
        <v>452</v>
      </c>
      <c r="E39" s="38">
        <v>194</v>
      </c>
      <c r="F39" s="38">
        <v>158</v>
      </c>
      <c r="G39" s="38">
        <v>188</v>
      </c>
      <c r="H39" s="31">
        <v>237</v>
      </c>
      <c r="I39" s="38">
        <v>179</v>
      </c>
      <c r="J39" s="38">
        <v>232</v>
      </c>
      <c r="K39" s="23">
        <v>1188</v>
      </c>
    </row>
    <row r="40" spans="1:11" ht="16.5" thickBot="1">
      <c r="A40" s="18">
        <f t="shared" si="0"/>
        <v>35</v>
      </c>
      <c r="B40" s="36" t="s">
        <v>394</v>
      </c>
      <c r="C40" s="37" t="s">
        <v>722</v>
      </c>
      <c r="D40" s="37" t="s">
        <v>729</v>
      </c>
      <c r="E40" s="38">
        <v>167</v>
      </c>
      <c r="F40" s="38">
        <v>225</v>
      </c>
      <c r="G40" s="38">
        <v>215</v>
      </c>
      <c r="H40" s="31">
        <v>198</v>
      </c>
      <c r="I40" s="38">
        <v>204</v>
      </c>
      <c r="J40" s="38">
        <v>178</v>
      </c>
      <c r="K40" s="23">
        <v>1187</v>
      </c>
    </row>
    <row r="41" spans="1:11" ht="16.5" thickBot="1">
      <c r="A41" s="18">
        <f t="shared" si="0"/>
        <v>36</v>
      </c>
      <c r="B41" s="36" t="s">
        <v>895</v>
      </c>
      <c r="C41" s="37" t="s">
        <v>896</v>
      </c>
      <c r="D41" s="37" t="s">
        <v>781</v>
      </c>
      <c r="E41" s="38">
        <v>183</v>
      </c>
      <c r="F41" s="38">
        <v>192</v>
      </c>
      <c r="G41" s="38">
        <v>154</v>
      </c>
      <c r="H41" s="31">
        <v>203</v>
      </c>
      <c r="I41" s="38">
        <v>221</v>
      </c>
      <c r="J41" s="38">
        <v>227</v>
      </c>
      <c r="K41" s="23">
        <v>1180</v>
      </c>
    </row>
    <row r="42" spans="1:11" ht="16.5" thickBot="1">
      <c r="A42" s="18">
        <f t="shared" si="0"/>
        <v>37</v>
      </c>
      <c r="B42" s="36" t="s">
        <v>1277</v>
      </c>
      <c r="C42" s="37" t="s">
        <v>1278</v>
      </c>
      <c r="D42" s="37" t="s">
        <v>856</v>
      </c>
      <c r="E42" s="38">
        <v>169</v>
      </c>
      <c r="F42" s="38">
        <v>192</v>
      </c>
      <c r="G42" s="38">
        <v>178</v>
      </c>
      <c r="H42" s="31">
        <v>217</v>
      </c>
      <c r="I42" s="38">
        <v>214</v>
      </c>
      <c r="J42" s="38">
        <v>206</v>
      </c>
      <c r="K42" s="23">
        <v>1176</v>
      </c>
    </row>
    <row r="43" spans="1:11" ht="16.5" thickBot="1">
      <c r="A43" s="18">
        <f t="shared" si="0"/>
        <v>38</v>
      </c>
      <c r="B43" s="36" t="s">
        <v>193</v>
      </c>
      <c r="C43" s="37" t="s">
        <v>948</v>
      </c>
      <c r="D43" s="37" t="s">
        <v>729</v>
      </c>
      <c r="E43" s="38">
        <v>213</v>
      </c>
      <c r="F43" s="38">
        <v>204</v>
      </c>
      <c r="G43" s="38">
        <v>163</v>
      </c>
      <c r="H43" s="31">
        <v>195</v>
      </c>
      <c r="I43" s="38">
        <v>204</v>
      </c>
      <c r="J43" s="38">
        <v>196</v>
      </c>
      <c r="K43" s="23">
        <v>1175</v>
      </c>
    </row>
    <row r="44" spans="1:11" ht="16.5" thickBot="1">
      <c r="A44" s="18">
        <f t="shared" si="0"/>
        <v>39</v>
      </c>
      <c r="B44" s="36" t="s">
        <v>897</v>
      </c>
      <c r="C44" s="37" t="s">
        <v>981</v>
      </c>
      <c r="D44" s="37" t="s">
        <v>281</v>
      </c>
      <c r="E44" s="38">
        <v>188</v>
      </c>
      <c r="F44" s="38">
        <v>200</v>
      </c>
      <c r="G44" s="38">
        <v>196</v>
      </c>
      <c r="H44" s="31">
        <v>214</v>
      </c>
      <c r="I44" s="38">
        <v>181</v>
      </c>
      <c r="J44" s="38">
        <v>195</v>
      </c>
      <c r="K44" s="23">
        <v>1174</v>
      </c>
    </row>
    <row r="45" spans="1:11" ht="16.5" thickBot="1">
      <c r="A45" s="18">
        <f t="shared" si="0"/>
        <v>40</v>
      </c>
      <c r="B45" s="36" t="s">
        <v>1177</v>
      </c>
      <c r="C45" s="37" t="s">
        <v>1178</v>
      </c>
      <c r="D45" s="37" t="s">
        <v>763</v>
      </c>
      <c r="E45" s="38">
        <v>214</v>
      </c>
      <c r="F45" s="38">
        <v>169</v>
      </c>
      <c r="G45" s="38">
        <v>193</v>
      </c>
      <c r="H45" s="31">
        <v>203</v>
      </c>
      <c r="I45" s="38">
        <v>204</v>
      </c>
      <c r="J45" s="38">
        <v>188</v>
      </c>
      <c r="K45" s="23">
        <v>1171</v>
      </c>
    </row>
    <row r="46" spans="1:11" ht="16.5" thickBot="1">
      <c r="A46" s="18">
        <f t="shared" si="0"/>
        <v>41</v>
      </c>
      <c r="B46" s="36" t="s">
        <v>1134</v>
      </c>
      <c r="C46" s="37" t="s">
        <v>351</v>
      </c>
      <c r="D46" s="37" t="s">
        <v>1289</v>
      </c>
      <c r="E46" s="38">
        <v>194</v>
      </c>
      <c r="F46" s="38">
        <v>217</v>
      </c>
      <c r="G46" s="38">
        <v>173</v>
      </c>
      <c r="H46" s="31">
        <v>244</v>
      </c>
      <c r="I46" s="38">
        <v>171</v>
      </c>
      <c r="J46" s="38">
        <v>172</v>
      </c>
      <c r="K46" s="23">
        <v>1171</v>
      </c>
    </row>
    <row r="47" spans="1:11" ht="16.5" thickBot="1">
      <c r="A47" s="18">
        <f t="shared" si="0"/>
        <v>42</v>
      </c>
      <c r="B47" s="36" t="s">
        <v>1197</v>
      </c>
      <c r="C47" s="37" t="s">
        <v>1198</v>
      </c>
      <c r="D47" s="37" t="s">
        <v>695</v>
      </c>
      <c r="E47" s="38">
        <v>188</v>
      </c>
      <c r="F47" s="38">
        <v>229</v>
      </c>
      <c r="G47" s="38">
        <v>204</v>
      </c>
      <c r="H47" s="31">
        <v>164</v>
      </c>
      <c r="I47" s="38">
        <v>206</v>
      </c>
      <c r="J47" s="38">
        <v>179</v>
      </c>
      <c r="K47" s="23">
        <v>1170</v>
      </c>
    </row>
    <row r="48" spans="1:11" ht="16.5" thickBot="1">
      <c r="A48" s="18">
        <f t="shared" si="0"/>
        <v>43</v>
      </c>
      <c r="B48" s="36" t="s">
        <v>1453</v>
      </c>
      <c r="C48" s="37" t="s">
        <v>1454</v>
      </c>
      <c r="D48" s="37" t="s">
        <v>501</v>
      </c>
      <c r="E48" s="38">
        <v>188</v>
      </c>
      <c r="F48" s="38">
        <v>247</v>
      </c>
      <c r="G48" s="38">
        <v>180</v>
      </c>
      <c r="H48" s="31">
        <v>179</v>
      </c>
      <c r="I48" s="38">
        <v>199</v>
      </c>
      <c r="J48" s="38">
        <v>175</v>
      </c>
      <c r="K48" s="23">
        <v>1168</v>
      </c>
    </row>
    <row r="49" spans="1:11" ht="16.5" thickBot="1">
      <c r="A49" s="18">
        <f t="shared" si="0"/>
        <v>44</v>
      </c>
      <c r="B49" s="36" t="s">
        <v>1259</v>
      </c>
      <c r="C49" s="37" t="s">
        <v>1023</v>
      </c>
      <c r="D49" s="37" t="s">
        <v>113</v>
      </c>
      <c r="E49" s="38">
        <v>205</v>
      </c>
      <c r="F49" s="38">
        <v>165</v>
      </c>
      <c r="G49" s="38">
        <v>267</v>
      </c>
      <c r="H49" s="31">
        <v>146</v>
      </c>
      <c r="I49" s="38">
        <v>176</v>
      </c>
      <c r="J49" s="38">
        <v>208</v>
      </c>
      <c r="K49" s="23">
        <v>1167</v>
      </c>
    </row>
    <row r="50" spans="1:11" ht="16.5" thickBot="1">
      <c r="A50" s="18">
        <f t="shared" si="0"/>
        <v>45</v>
      </c>
      <c r="B50" s="36" t="s">
        <v>1490</v>
      </c>
      <c r="C50" s="37" t="s">
        <v>1491</v>
      </c>
      <c r="D50" s="37" t="s">
        <v>713</v>
      </c>
      <c r="E50" s="38">
        <v>214</v>
      </c>
      <c r="F50" s="38">
        <v>196</v>
      </c>
      <c r="G50" s="38">
        <v>212</v>
      </c>
      <c r="H50" s="31">
        <v>173</v>
      </c>
      <c r="I50" s="38">
        <v>184</v>
      </c>
      <c r="J50" s="38">
        <v>188</v>
      </c>
      <c r="K50" s="23">
        <v>1167</v>
      </c>
    </row>
    <row r="51" spans="1:11" ht="16.5" thickBot="1">
      <c r="A51" s="18">
        <f t="shared" si="0"/>
        <v>46</v>
      </c>
      <c r="B51" s="36" t="s">
        <v>1175</v>
      </c>
      <c r="C51" s="37" t="s">
        <v>1229</v>
      </c>
      <c r="D51" s="37" t="s">
        <v>1228</v>
      </c>
      <c r="E51" s="38">
        <v>227</v>
      </c>
      <c r="F51" s="38">
        <v>210</v>
      </c>
      <c r="G51" s="38">
        <v>152</v>
      </c>
      <c r="H51" s="31">
        <v>177</v>
      </c>
      <c r="I51" s="38">
        <v>166</v>
      </c>
      <c r="J51" s="38">
        <v>232</v>
      </c>
      <c r="K51" s="23">
        <v>1164</v>
      </c>
    </row>
    <row r="52" spans="1:11" ht="16.5" thickBot="1">
      <c r="A52" s="18">
        <f t="shared" si="0"/>
        <v>47</v>
      </c>
      <c r="B52" s="36" t="s">
        <v>1445</v>
      </c>
      <c r="C52" s="37" t="s">
        <v>1446</v>
      </c>
      <c r="D52" s="37" t="s">
        <v>772</v>
      </c>
      <c r="E52" s="38">
        <v>237</v>
      </c>
      <c r="F52" s="38">
        <v>187</v>
      </c>
      <c r="G52" s="38">
        <v>200</v>
      </c>
      <c r="H52" s="31">
        <v>197</v>
      </c>
      <c r="I52" s="38">
        <v>143</v>
      </c>
      <c r="J52" s="38">
        <v>198</v>
      </c>
      <c r="K52" s="23">
        <v>1162</v>
      </c>
    </row>
    <row r="53" spans="1:11" ht="16.5" thickBot="1">
      <c r="A53" s="18">
        <f t="shared" si="0"/>
        <v>48</v>
      </c>
      <c r="B53" s="36" t="s">
        <v>1483</v>
      </c>
      <c r="C53" s="37" t="s">
        <v>1484</v>
      </c>
      <c r="D53" s="37" t="s">
        <v>575</v>
      </c>
      <c r="E53" s="38">
        <v>150</v>
      </c>
      <c r="F53" s="38">
        <v>201</v>
      </c>
      <c r="G53" s="38">
        <v>211</v>
      </c>
      <c r="H53" s="31">
        <v>222</v>
      </c>
      <c r="I53" s="38">
        <v>193</v>
      </c>
      <c r="J53" s="38">
        <v>184</v>
      </c>
      <c r="K53" s="23">
        <v>1161</v>
      </c>
    </row>
    <row r="54" spans="1:11" ht="16.5" thickBot="1">
      <c r="A54" s="18">
        <f t="shared" si="0"/>
        <v>49</v>
      </c>
      <c r="B54" s="36" t="s">
        <v>128</v>
      </c>
      <c r="C54" s="37" t="s">
        <v>1055</v>
      </c>
      <c r="D54" s="37" t="s">
        <v>547</v>
      </c>
      <c r="E54" s="38">
        <v>190</v>
      </c>
      <c r="F54" s="38">
        <v>190</v>
      </c>
      <c r="G54" s="38">
        <v>193</v>
      </c>
      <c r="H54" s="31">
        <v>172</v>
      </c>
      <c r="I54" s="38">
        <v>176</v>
      </c>
      <c r="J54" s="38">
        <v>237</v>
      </c>
      <c r="K54" s="23">
        <v>1158</v>
      </c>
    </row>
    <row r="55" spans="1:11" ht="16.5" thickBot="1">
      <c r="A55" s="18">
        <f t="shared" si="0"/>
        <v>50</v>
      </c>
      <c r="B55" s="36" t="s">
        <v>1036</v>
      </c>
      <c r="C55" s="37" t="s">
        <v>1037</v>
      </c>
      <c r="D55" s="37" t="s">
        <v>1024</v>
      </c>
      <c r="E55" s="38">
        <v>175</v>
      </c>
      <c r="F55" s="38">
        <v>186</v>
      </c>
      <c r="G55" s="38">
        <v>232</v>
      </c>
      <c r="H55" s="31">
        <v>199</v>
      </c>
      <c r="I55" s="38">
        <v>184</v>
      </c>
      <c r="J55" s="38">
        <v>181</v>
      </c>
      <c r="K55" s="23">
        <v>1157</v>
      </c>
    </row>
    <row r="56" spans="1:11" ht="16.5" thickBot="1">
      <c r="A56" s="18">
        <f t="shared" si="0"/>
        <v>51</v>
      </c>
      <c r="B56" s="36" t="s">
        <v>1510</v>
      </c>
      <c r="C56" s="37" t="s">
        <v>1511</v>
      </c>
      <c r="D56" s="37" t="s">
        <v>180</v>
      </c>
      <c r="E56" s="38">
        <v>203</v>
      </c>
      <c r="F56" s="38">
        <v>208</v>
      </c>
      <c r="G56" s="38">
        <v>166</v>
      </c>
      <c r="H56" s="31">
        <v>180</v>
      </c>
      <c r="I56" s="38">
        <v>181</v>
      </c>
      <c r="J56" s="38">
        <v>215</v>
      </c>
      <c r="K56" s="23">
        <v>1153</v>
      </c>
    </row>
    <row r="57" spans="1:11" ht="16.5" thickBot="1">
      <c r="A57" s="18">
        <f t="shared" si="0"/>
        <v>52</v>
      </c>
      <c r="B57" s="36" t="s">
        <v>959</v>
      </c>
      <c r="C57" s="37" t="s">
        <v>960</v>
      </c>
      <c r="D57" s="37" t="s">
        <v>295</v>
      </c>
      <c r="E57" s="38">
        <v>186</v>
      </c>
      <c r="F57" s="38">
        <v>187</v>
      </c>
      <c r="G57" s="38">
        <v>210</v>
      </c>
      <c r="H57" s="31">
        <v>196</v>
      </c>
      <c r="I57" s="38">
        <v>168</v>
      </c>
      <c r="J57" s="38">
        <v>203</v>
      </c>
      <c r="K57" s="23">
        <v>1150</v>
      </c>
    </row>
    <row r="58" spans="1:11" ht="16.5" thickBot="1">
      <c r="A58" s="18">
        <f t="shared" si="0"/>
        <v>53</v>
      </c>
      <c r="B58" s="36" t="s">
        <v>1408</v>
      </c>
      <c r="C58" s="37" t="s">
        <v>1409</v>
      </c>
      <c r="D58" s="37" t="s">
        <v>154</v>
      </c>
      <c r="E58" s="38">
        <v>197</v>
      </c>
      <c r="F58" s="38">
        <v>172</v>
      </c>
      <c r="G58" s="38">
        <v>188</v>
      </c>
      <c r="H58" s="31">
        <v>209</v>
      </c>
      <c r="I58" s="38">
        <v>189</v>
      </c>
      <c r="J58" s="38">
        <v>194</v>
      </c>
      <c r="K58" s="23">
        <v>1149</v>
      </c>
    </row>
    <row r="59" spans="1:11" ht="16.5" thickBot="1">
      <c r="A59" s="18">
        <f t="shared" si="0"/>
        <v>54</v>
      </c>
      <c r="B59" s="36" t="s">
        <v>1476</v>
      </c>
      <c r="C59" s="37" t="s">
        <v>1477</v>
      </c>
      <c r="D59" s="37" t="s">
        <v>817</v>
      </c>
      <c r="E59" s="38">
        <v>221</v>
      </c>
      <c r="F59" s="38">
        <v>180</v>
      </c>
      <c r="G59" s="38">
        <v>188</v>
      </c>
      <c r="H59" s="31">
        <v>199</v>
      </c>
      <c r="I59" s="38">
        <v>179</v>
      </c>
      <c r="J59" s="38">
        <v>182</v>
      </c>
      <c r="K59" s="23">
        <v>1149</v>
      </c>
    </row>
    <row r="60" spans="1:11" ht="16.5" thickBot="1">
      <c r="A60" s="18">
        <f t="shared" si="0"/>
        <v>55</v>
      </c>
      <c r="B60" s="36" t="s">
        <v>1013</v>
      </c>
      <c r="C60" s="37" t="s">
        <v>1288</v>
      </c>
      <c r="D60" s="37" t="s">
        <v>654</v>
      </c>
      <c r="E60" s="38">
        <v>213</v>
      </c>
      <c r="F60" s="38">
        <v>183</v>
      </c>
      <c r="G60" s="38">
        <v>181</v>
      </c>
      <c r="H60" s="31">
        <v>193</v>
      </c>
      <c r="I60" s="38">
        <v>180</v>
      </c>
      <c r="J60" s="38">
        <v>198</v>
      </c>
      <c r="K60" s="23">
        <v>1148</v>
      </c>
    </row>
    <row r="61" spans="1:11" ht="16.5" thickBot="1">
      <c r="A61" s="18">
        <f t="shared" si="0"/>
        <v>56</v>
      </c>
      <c r="B61" s="36" t="s">
        <v>1420</v>
      </c>
      <c r="C61" s="37" t="s">
        <v>820</v>
      </c>
      <c r="D61" s="37" t="s">
        <v>1413</v>
      </c>
      <c r="E61" s="38">
        <v>158</v>
      </c>
      <c r="F61" s="38">
        <v>179</v>
      </c>
      <c r="G61" s="38">
        <v>178</v>
      </c>
      <c r="H61" s="31">
        <v>246</v>
      </c>
      <c r="I61" s="38">
        <v>183</v>
      </c>
      <c r="J61" s="38">
        <v>203</v>
      </c>
      <c r="K61" s="23">
        <v>1147</v>
      </c>
    </row>
    <row r="62" spans="1:11" ht="16.5" thickBot="1">
      <c r="A62" s="18">
        <f t="shared" si="0"/>
        <v>57</v>
      </c>
      <c r="B62" s="36" t="s">
        <v>924</v>
      </c>
      <c r="C62" s="37" t="s">
        <v>1416</v>
      </c>
      <c r="D62" s="37" t="s">
        <v>1413</v>
      </c>
      <c r="E62" s="38">
        <v>159</v>
      </c>
      <c r="F62" s="38">
        <v>205</v>
      </c>
      <c r="G62" s="38">
        <v>182</v>
      </c>
      <c r="H62" s="31">
        <v>233</v>
      </c>
      <c r="I62" s="38">
        <v>190</v>
      </c>
      <c r="J62" s="38">
        <v>177</v>
      </c>
      <c r="K62" s="23">
        <v>1146</v>
      </c>
    </row>
    <row r="63" spans="1:11" ht="16.5" thickBot="1">
      <c r="A63" s="18">
        <f t="shared" si="0"/>
        <v>58</v>
      </c>
      <c r="B63" s="36" t="s">
        <v>1042</v>
      </c>
      <c r="C63" s="37" t="s">
        <v>235</v>
      </c>
      <c r="D63" s="37" t="s">
        <v>205</v>
      </c>
      <c r="E63" s="38">
        <v>202</v>
      </c>
      <c r="F63" s="38">
        <v>206</v>
      </c>
      <c r="G63" s="38">
        <v>200</v>
      </c>
      <c r="H63" s="31">
        <v>191</v>
      </c>
      <c r="I63" s="38">
        <v>181</v>
      </c>
      <c r="J63" s="38">
        <v>165</v>
      </c>
      <c r="K63" s="23">
        <v>1145</v>
      </c>
    </row>
    <row r="64" spans="1:11" ht="16.5" thickBot="1">
      <c r="A64" s="18">
        <f t="shared" si="0"/>
        <v>59</v>
      </c>
      <c r="B64" s="36" t="s">
        <v>1410</v>
      </c>
      <c r="C64" s="37" t="s">
        <v>1411</v>
      </c>
      <c r="D64" s="37" t="s">
        <v>154</v>
      </c>
      <c r="E64" s="38">
        <v>195</v>
      </c>
      <c r="F64" s="38">
        <v>248</v>
      </c>
      <c r="G64" s="38">
        <v>170</v>
      </c>
      <c r="H64" s="31">
        <v>154</v>
      </c>
      <c r="I64" s="38">
        <v>204</v>
      </c>
      <c r="J64" s="38">
        <v>171</v>
      </c>
      <c r="K64" s="23">
        <v>1142</v>
      </c>
    </row>
    <row r="65" spans="1:11" ht="16.5" thickBot="1">
      <c r="A65" s="18">
        <f t="shared" si="0"/>
        <v>60</v>
      </c>
      <c r="B65" s="36" t="s">
        <v>1152</v>
      </c>
      <c r="C65" s="37" t="s">
        <v>1153</v>
      </c>
      <c r="D65" s="37" t="s">
        <v>750</v>
      </c>
      <c r="E65" s="38">
        <v>235</v>
      </c>
      <c r="F65" s="38">
        <v>184</v>
      </c>
      <c r="G65" s="38">
        <v>155</v>
      </c>
      <c r="H65" s="31">
        <v>197</v>
      </c>
      <c r="I65" s="38">
        <v>179</v>
      </c>
      <c r="J65" s="38">
        <v>190</v>
      </c>
      <c r="K65" s="23">
        <v>1140</v>
      </c>
    </row>
    <row r="66" spans="1:11" ht="16.5" thickBot="1">
      <c r="A66" s="18">
        <f t="shared" si="0"/>
        <v>61</v>
      </c>
      <c r="B66" s="36" t="s">
        <v>1013</v>
      </c>
      <c r="C66" s="37" t="s">
        <v>1014</v>
      </c>
      <c r="D66" s="37" t="s">
        <v>438</v>
      </c>
      <c r="E66" s="38">
        <v>221</v>
      </c>
      <c r="F66" s="38">
        <v>143</v>
      </c>
      <c r="G66" s="38">
        <v>186</v>
      </c>
      <c r="H66" s="31">
        <v>192</v>
      </c>
      <c r="I66" s="38">
        <v>193</v>
      </c>
      <c r="J66" s="38">
        <v>202</v>
      </c>
      <c r="K66" s="23">
        <v>1137</v>
      </c>
    </row>
    <row r="67" spans="1:11" ht="16.5" thickBot="1">
      <c r="A67" s="18">
        <f t="shared" si="0"/>
        <v>62</v>
      </c>
      <c r="B67" s="36" t="s">
        <v>1038</v>
      </c>
      <c r="C67" s="37" t="s">
        <v>1039</v>
      </c>
      <c r="D67" s="37" t="s">
        <v>205</v>
      </c>
      <c r="E67" s="38">
        <v>161</v>
      </c>
      <c r="F67" s="38">
        <v>173</v>
      </c>
      <c r="G67" s="38">
        <v>266</v>
      </c>
      <c r="H67" s="31">
        <v>180</v>
      </c>
      <c r="I67" s="38">
        <v>165</v>
      </c>
      <c r="J67" s="38">
        <v>191</v>
      </c>
      <c r="K67" s="23">
        <v>1136</v>
      </c>
    </row>
    <row r="68" spans="1:11" ht="16.5" thickBot="1">
      <c r="A68" s="18">
        <f t="shared" si="0"/>
        <v>63</v>
      </c>
      <c r="B68" s="36" t="s">
        <v>963</v>
      </c>
      <c r="C68" s="37" t="s">
        <v>964</v>
      </c>
      <c r="D68" s="37" t="s">
        <v>295</v>
      </c>
      <c r="E68" s="38">
        <v>210</v>
      </c>
      <c r="F68" s="38">
        <v>161</v>
      </c>
      <c r="G68" s="38">
        <v>157</v>
      </c>
      <c r="H68" s="31">
        <v>172</v>
      </c>
      <c r="I68" s="38">
        <v>197</v>
      </c>
      <c r="J68" s="38">
        <v>238</v>
      </c>
      <c r="K68" s="23">
        <v>1135</v>
      </c>
    </row>
    <row r="69" spans="1:11" ht="16.5" thickBot="1">
      <c r="A69" s="18">
        <f t="shared" si="0"/>
        <v>64</v>
      </c>
      <c r="B69" s="36" t="s">
        <v>1170</v>
      </c>
      <c r="C69" s="37" t="s">
        <v>1469</v>
      </c>
      <c r="D69" s="37" t="s">
        <v>464</v>
      </c>
      <c r="E69" s="38">
        <v>191</v>
      </c>
      <c r="F69" s="38">
        <v>192</v>
      </c>
      <c r="G69" s="38">
        <v>151</v>
      </c>
      <c r="H69" s="31">
        <v>155</v>
      </c>
      <c r="I69" s="38">
        <v>256</v>
      </c>
      <c r="J69" s="38">
        <v>190</v>
      </c>
      <c r="K69" s="23">
        <v>1135</v>
      </c>
    </row>
    <row r="70" spans="1:11" ht="16.5" thickBot="1">
      <c r="A70" s="18">
        <f t="shared" si="0"/>
        <v>65</v>
      </c>
      <c r="B70" s="36" t="s">
        <v>966</v>
      </c>
      <c r="C70" s="37" t="s">
        <v>967</v>
      </c>
      <c r="D70" s="37" t="s">
        <v>167</v>
      </c>
      <c r="E70" s="38">
        <v>167</v>
      </c>
      <c r="F70" s="38">
        <v>245</v>
      </c>
      <c r="G70" s="38">
        <v>179</v>
      </c>
      <c r="H70" s="31">
        <v>159</v>
      </c>
      <c r="I70" s="38">
        <v>186</v>
      </c>
      <c r="J70" s="38">
        <v>198</v>
      </c>
      <c r="K70" s="23">
        <v>1134</v>
      </c>
    </row>
    <row r="71" spans="1:11" ht="16.5" thickBot="1">
      <c r="A71" s="18">
        <f t="shared" si="0"/>
        <v>66</v>
      </c>
      <c r="B71" s="36" t="s">
        <v>974</v>
      </c>
      <c r="C71" s="37" t="s">
        <v>975</v>
      </c>
      <c r="D71" s="37" t="s">
        <v>167</v>
      </c>
      <c r="E71" s="38">
        <v>182</v>
      </c>
      <c r="F71" s="38">
        <v>188</v>
      </c>
      <c r="G71" s="38">
        <v>184</v>
      </c>
      <c r="H71" s="31">
        <v>190</v>
      </c>
      <c r="I71" s="38">
        <v>197</v>
      </c>
      <c r="J71" s="38">
        <v>193</v>
      </c>
      <c r="K71" s="23">
        <v>1134</v>
      </c>
    </row>
    <row r="72" spans="1:11" ht="16.5" thickBot="1">
      <c r="A72" s="18">
        <f t="shared" ref="A72:A135" si="1">A71+1</f>
        <v>67</v>
      </c>
      <c r="B72" s="36" t="s">
        <v>1082</v>
      </c>
      <c r="C72" s="37" t="s">
        <v>1083</v>
      </c>
      <c r="D72" s="37" t="s">
        <v>479</v>
      </c>
      <c r="E72" s="38">
        <v>220</v>
      </c>
      <c r="F72" s="38">
        <v>166</v>
      </c>
      <c r="G72" s="38">
        <v>201</v>
      </c>
      <c r="H72" s="31">
        <v>176</v>
      </c>
      <c r="I72" s="38">
        <v>178</v>
      </c>
      <c r="J72" s="38">
        <v>191</v>
      </c>
      <c r="K72" s="23">
        <v>1132</v>
      </c>
    </row>
    <row r="73" spans="1:11" ht="16.5" thickBot="1">
      <c r="A73" s="18">
        <f t="shared" si="1"/>
        <v>68</v>
      </c>
      <c r="B73" s="36" t="s">
        <v>1181</v>
      </c>
      <c r="C73" s="37" t="s">
        <v>1182</v>
      </c>
      <c r="D73" s="37" t="s">
        <v>763</v>
      </c>
      <c r="E73" s="38">
        <v>177</v>
      </c>
      <c r="F73" s="38">
        <v>223</v>
      </c>
      <c r="G73" s="38">
        <v>162</v>
      </c>
      <c r="H73" s="31">
        <v>196</v>
      </c>
      <c r="I73" s="38">
        <v>223</v>
      </c>
      <c r="J73" s="38">
        <v>151</v>
      </c>
      <c r="K73" s="23">
        <v>1132</v>
      </c>
    </row>
    <row r="74" spans="1:11" ht="16.5" thickBot="1">
      <c r="A74" s="18">
        <f t="shared" si="1"/>
        <v>69</v>
      </c>
      <c r="B74" s="36" t="s">
        <v>1156</v>
      </c>
      <c r="C74" s="37" t="s">
        <v>1157</v>
      </c>
      <c r="D74" s="37" t="s">
        <v>750</v>
      </c>
      <c r="E74" s="38">
        <v>180</v>
      </c>
      <c r="F74" s="38">
        <v>192</v>
      </c>
      <c r="G74" s="38">
        <v>187</v>
      </c>
      <c r="H74" s="31">
        <v>182</v>
      </c>
      <c r="I74" s="38">
        <v>184</v>
      </c>
      <c r="J74" s="38">
        <v>204</v>
      </c>
      <c r="K74" s="23">
        <v>1129</v>
      </c>
    </row>
    <row r="75" spans="1:11" ht="16.5" thickBot="1">
      <c r="A75" s="18">
        <f t="shared" si="1"/>
        <v>70</v>
      </c>
      <c r="B75" s="36" t="s">
        <v>195</v>
      </c>
      <c r="C75" s="37" t="s">
        <v>1313</v>
      </c>
      <c r="D75" s="37" t="s">
        <v>1306</v>
      </c>
      <c r="E75" s="38">
        <v>156</v>
      </c>
      <c r="F75" s="38">
        <v>198</v>
      </c>
      <c r="G75" s="38">
        <v>184</v>
      </c>
      <c r="H75" s="31">
        <v>170</v>
      </c>
      <c r="I75" s="38">
        <v>205</v>
      </c>
      <c r="J75" s="38">
        <v>216</v>
      </c>
      <c r="K75" s="23">
        <v>1129</v>
      </c>
    </row>
    <row r="76" spans="1:11" ht="16.5" thickBot="1">
      <c r="A76" s="18">
        <f t="shared" si="1"/>
        <v>71</v>
      </c>
      <c r="B76" s="36" t="s">
        <v>1161</v>
      </c>
      <c r="C76" s="37" t="s">
        <v>1295</v>
      </c>
      <c r="D76" s="37" t="s">
        <v>1289</v>
      </c>
      <c r="E76" s="38">
        <v>203</v>
      </c>
      <c r="F76" s="38">
        <v>178</v>
      </c>
      <c r="G76" s="38">
        <v>155</v>
      </c>
      <c r="H76" s="31">
        <v>232</v>
      </c>
      <c r="I76" s="38">
        <v>187</v>
      </c>
      <c r="J76" s="38">
        <v>168</v>
      </c>
      <c r="K76" s="23">
        <v>1123</v>
      </c>
    </row>
    <row r="77" spans="1:11" ht="16.5" thickBot="1">
      <c r="A77" s="18">
        <f t="shared" si="1"/>
        <v>72</v>
      </c>
      <c r="B77" s="36" t="s">
        <v>1093</v>
      </c>
      <c r="C77" s="37" t="s">
        <v>1485</v>
      </c>
      <c r="D77" s="37" t="s">
        <v>575</v>
      </c>
      <c r="E77" s="38">
        <v>212</v>
      </c>
      <c r="F77" s="38">
        <v>143</v>
      </c>
      <c r="G77" s="38">
        <v>183</v>
      </c>
      <c r="H77" s="31">
        <v>237</v>
      </c>
      <c r="I77" s="38">
        <v>187</v>
      </c>
      <c r="J77" s="38">
        <v>161</v>
      </c>
      <c r="K77" s="23">
        <v>1123</v>
      </c>
    </row>
    <row r="78" spans="1:11" ht="16.5" thickBot="1">
      <c r="A78" s="18">
        <f t="shared" si="1"/>
        <v>73</v>
      </c>
      <c r="B78" s="36" t="s">
        <v>1336</v>
      </c>
      <c r="C78" s="37" t="s">
        <v>1022</v>
      </c>
      <c r="D78" s="37" t="s">
        <v>643</v>
      </c>
      <c r="E78" s="38">
        <v>161</v>
      </c>
      <c r="F78" s="38">
        <v>196</v>
      </c>
      <c r="G78" s="38">
        <v>212</v>
      </c>
      <c r="H78" s="31">
        <v>195</v>
      </c>
      <c r="I78" s="38">
        <v>183</v>
      </c>
      <c r="J78" s="38">
        <v>172</v>
      </c>
      <c r="K78" s="23">
        <v>1119</v>
      </c>
    </row>
    <row r="79" spans="1:11" ht="16.5" thickBot="1">
      <c r="A79" s="18">
        <f t="shared" si="1"/>
        <v>74</v>
      </c>
      <c r="B79" s="36" t="s">
        <v>897</v>
      </c>
      <c r="C79" s="37" t="s">
        <v>1210</v>
      </c>
      <c r="D79" s="37" t="s">
        <v>331</v>
      </c>
      <c r="E79" s="38">
        <v>141</v>
      </c>
      <c r="F79" s="38">
        <v>181</v>
      </c>
      <c r="G79" s="38">
        <v>183</v>
      </c>
      <c r="H79" s="31">
        <v>230</v>
      </c>
      <c r="I79" s="38">
        <v>173</v>
      </c>
      <c r="J79" s="38">
        <v>210</v>
      </c>
      <c r="K79" s="23">
        <v>1118</v>
      </c>
    </row>
    <row r="80" spans="1:11" ht="16.5" thickBot="1">
      <c r="A80" s="18">
        <f t="shared" si="1"/>
        <v>75</v>
      </c>
      <c r="B80" s="36" t="s">
        <v>1255</v>
      </c>
      <c r="C80" s="37" t="s">
        <v>1256</v>
      </c>
      <c r="D80" s="37" t="s">
        <v>113</v>
      </c>
      <c r="E80" s="38">
        <v>211</v>
      </c>
      <c r="F80" s="38">
        <v>185</v>
      </c>
      <c r="G80" s="38">
        <v>189</v>
      </c>
      <c r="H80" s="31">
        <v>181</v>
      </c>
      <c r="I80" s="38">
        <v>196</v>
      </c>
      <c r="J80" s="38">
        <v>156</v>
      </c>
      <c r="K80" s="23">
        <v>1118</v>
      </c>
    </row>
    <row r="81" spans="1:11" ht="16.5" thickBot="1">
      <c r="A81" s="18">
        <f t="shared" si="1"/>
        <v>76</v>
      </c>
      <c r="B81" s="36" t="s">
        <v>1170</v>
      </c>
      <c r="C81" s="37" t="s">
        <v>1405</v>
      </c>
      <c r="D81" s="37" t="s">
        <v>490</v>
      </c>
      <c r="E81" s="38">
        <v>218</v>
      </c>
      <c r="F81" s="38">
        <v>171</v>
      </c>
      <c r="G81" s="38">
        <v>182</v>
      </c>
      <c r="H81" s="31">
        <v>157</v>
      </c>
      <c r="I81" s="38">
        <v>186</v>
      </c>
      <c r="J81" s="38">
        <v>203</v>
      </c>
      <c r="K81" s="23">
        <v>1117</v>
      </c>
    </row>
    <row r="82" spans="1:11" ht="16.5" thickBot="1">
      <c r="A82" s="18">
        <f t="shared" si="1"/>
        <v>77</v>
      </c>
      <c r="B82" s="36" t="s">
        <v>1392</v>
      </c>
      <c r="C82" s="37" t="s">
        <v>500</v>
      </c>
      <c r="D82" s="37" t="s">
        <v>720</v>
      </c>
      <c r="E82" s="38">
        <v>187</v>
      </c>
      <c r="F82" s="38">
        <v>198</v>
      </c>
      <c r="G82" s="38">
        <v>216</v>
      </c>
      <c r="H82" s="31">
        <v>160</v>
      </c>
      <c r="I82" s="38">
        <v>154</v>
      </c>
      <c r="J82" s="38">
        <v>201</v>
      </c>
      <c r="K82" s="23">
        <v>1116</v>
      </c>
    </row>
    <row r="83" spans="1:11" ht="16.5" thickBot="1">
      <c r="A83" s="18">
        <f t="shared" si="1"/>
        <v>78</v>
      </c>
      <c r="B83" s="36" t="s">
        <v>924</v>
      </c>
      <c r="C83" s="37" t="s">
        <v>978</v>
      </c>
      <c r="D83" s="37" t="s">
        <v>281</v>
      </c>
      <c r="E83" s="38">
        <v>173</v>
      </c>
      <c r="F83" s="38">
        <v>179</v>
      </c>
      <c r="G83" s="38">
        <v>170</v>
      </c>
      <c r="H83" s="31">
        <v>189</v>
      </c>
      <c r="I83" s="38">
        <v>224</v>
      </c>
      <c r="J83" s="38">
        <v>180</v>
      </c>
      <c r="K83" s="23">
        <v>1115</v>
      </c>
    </row>
    <row r="84" spans="1:11" ht="16.5" thickBot="1">
      <c r="A84" s="18">
        <f t="shared" si="1"/>
        <v>79</v>
      </c>
      <c r="B84" s="36" t="s">
        <v>986</v>
      </c>
      <c r="C84" s="37" t="s">
        <v>238</v>
      </c>
      <c r="D84" s="37" t="s">
        <v>750</v>
      </c>
      <c r="E84" s="38">
        <v>169</v>
      </c>
      <c r="F84" s="38">
        <v>209</v>
      </c>
      <c r="G84" s="38">
        <v>192</v>
      </c>
      <c r="H84" s="31">
        <v>209</v>
      </c>
      <c r="I84" s="38">
        <v>146</v>
      </c>
      <c r="J84" s="38">
        <v>189</v>
      </c>
      <c r="K84" s="23">
        <v>1114</v>
      </c>
    </row>
    <row r="85" spans="1:11" ht="16.5" thickBot="1">
      <c r="A85" s="18">
        <f t="shared" si="1"/>
        <v>80</v>
      </c>
      <c r="B85" s="36" t="s">
        <v>893</v>
      </c>
      <c r="C85" s="37" t="s">
        <v>1052</v>
      </c>
      <c r="D85" s="37" t="s">
        <v>547</v>
      </c>
      <c r="E85" s="38">
        <v>199</v>
      </c>
      <c r="F85" s="38">
        <v>157</v>
      </c>
      <c r="G85" s="38">
        <v>185</v>
      </c>
      <c r="H85" s="31">
        <v>180</v>
      </c>
      <c r="I85" s="38">
        <v>201</v>
      </c>
      <c r="J85" s="38">
        <v>189</v>
      </c>
      <c r="K85" s="23">
        <v>1111</v>
      </c>
    </row>
    <row r="86" spans="1:11" ht="16.5" thickBot="1">
      <c r="A86" s="18">
        <f t="shared" si="1"/>
        <v>81</v>
      </c>
      <c r="B86" s="36" t="s">
        <v>1500</v>
      </c>
      <c r="C86" s="37" t="s">
        <v>1501</v>
      </c>
      <c r="D86" s="37" t="s">
        <v>713</v>
      </c>
      <c r="E86" s="38">
        <v>204</v>
      </c>
      <c r="F86" s="38">
        <v>175</v>
      </c>
      <c r="G86" s="38">
        <v>154</v>
      </c>
      <c r="H86" s="31">
        <v>170</v>
      </c>
      <c r="I86" s="38">
        <v>216</v>
      </c>
      <c r="J86" s="38">
        <v>192</v>
      </c>
      <c r="K86" s="23">
        <v>1111</v>
      </c>
    </row>
    <row r="87" spans="1:11" ht="16.5" thickBot="1">
      <c r="A87" s="18">
        <f t="shared" si="1"/>
        <v>82</v>
      </c>
      <c r="B87" s="36" t="s">
        <v>897</v>
      </c>
      <c r="C87" s="37" t="s">
        <v>1238</v>
      </c>
      <c r="D87" s="37" t="s">
        <v>626</v>
      </c>
      <c r="E87" s="38">
        <v>216</v>
      </c>
      <c r="F87" s="38">
        <v>191</v>
      </c>
      <c r="G87" s="38">
        <v>140</v>
      </c>
      <c r="H87" s="31">
        <v>185</v>
      </c>
      <c r="I87" s="38">
        <v>206</v>
      </c>
      <c r="J87" s="38">
        <v>172</v>
      </c>
      <c r="K87" s="23">
        <v>1110</v>
      </c>
    </row>
    <row r="88" spans="1:11" ht="16.5" thickBot="1">
      <c r="A88" s="18">
        <f t="shared" si="1"/>
        <v>83</v>
      </c>
      <c r="B88" s="36" t="s">
        <v>1333</v>
      </c>
      <c r="C88" s="37" t="s">
        <v>1135</v>
      </c>
      <c r="D88" s="37" t="s">
        <v>643</v>
      </c>
      <c r="E88" s="38">
        <v>156</v>
      </c>
      <c r="F88" s="38">
        <v>223</v>
      </c>
      <c r="G88" s="38">
        <v>179</v>
      </c>
      <c r="H88" s="31">
        <v>162</v>
      </c>
      <c r="I88" s="38">
        <v>153</v>
      </c>
      <c r="J88" s="38">
        <v>237</v>
      </c>
      <c r="K88" s="23">
        <v>1110</v>
      </c>
    </row>
    <row r="89" spans="1:11" ht="16.5" thickBot="1">
      <c r="A89" s="18">
        <f t="shared" si="1"/>
        <v>84</v>
      </c>
      <c r="B89" s="36" t="s">
        <v>1000</v>
      </c>
      <c r="C89" s="37" t="s">
        <v>1299</v>
      </c>
      <c r="D89" s="37" t="s">
        <v>617</v>
      </c>
      <c r="E89" s="38">
        <v>192</v>
      </c>
      <c r="F89" s="38">
        <v>155</v>
      </c>
      <c r="G89" s="38">
        <v>188</v>
      </c>
      <c r="H89" s="31">
        <v>180</v>
      </c>
      <c r="I89" s="38">
        <v>182</v>
      </c>
      <c r="J89" s="38">
        <v>212</v>
      </c>
      <c r="K89" s="23">
        <v>1109</v>
      </c>
    </row>
    <row r="90" spans="1:11" ht="16.5" thickBot="1">
      <c r="A90" s="18">
        <f t="shared" si="1"/>
        <v>85</v>
      </c>
      <c r="B90" s="36" t="s">
        <v>1267</v>
      </c>
      <c r="C90" s="37" t="s">
        <v>1268</v>
      </c>
      <c r="D90" s="37" t="s">
        <v>856</v>
      </c>
      <c r="E90" s="38">
        <v>189</v>
      </c>
      <c r="F90" s="38">
        <v>185</v>
      </c>
      <c r="G90" s="38">
        <v>182</v>
      </c>
      <c r="H90" s="31">
        <v>166</v>
      </c>
      <c r="I90" s="38">
        <v>189</v>
      </c>
      <c r="J90" s="38">
        <v>197</v>
      </c>
      <c r="K90" s="23">
        <v>1108</v>
      </c>
    </row>
    <row r="91" spans="1:11" ht="16.5" thickBot="1">
      <c r="A91" s="18">
        <f t="shared" si="1"/>
        <v>86</v>
      </c>
      <c r="B91" s="36" t="s">
        <v>1513</v>
      </c>
      <c r="C91" s="37" t="s">
        <v>1514</v>
      </c>
      <c r="D91" s="37" t="s">
        <v>180</v>
      </c>
      <c r="E91" s="38">
        <v>177</v>
      </c>
      <c r="F91" s="38">
        <v>188</v>
      </c>
      <c r="G91" s="38">
        <v>179</v>
      </c>
      <c r="H91" s="31">
        <v>191</v>
      </c>
      <c r="I91" s="38">
        <v>202</v>
      </c>
      <c r="J91" s="38">
        <v>171</v>
      </c>
      <c r="K91" s="23">
        <v>1108</v>
      </c>
    </row>
    <row r="92" spans="1:11" ht="16.5" thickBot="1">
      <c r="A92" s="18">
        <f t="shared" si="1"/>
        <v>87</v>
      </c>
      <c r="B92" s="36" t="s">
        <v>195</v>
      </c>
      <c r="C92" s="37" t="s">
        <v>1276</v>
      </c>
      <c r="D92" s="37" t="s">
        <v>856</v>
      </c>
      <c r="E92" s="38">
        <v>198</v>
      </c>
      <c r="F92" s="38">
        <v>162</v>
      </c>
      <c r="G92" s="38">
        <v>158</v>
      </c>
      <c r="H92" s="31">
        <v>226</v>
      </c>
      <c r="I92" s="38">
        <v>184</v>
      </c>
      <c r="J92" s="38">
        <v>179</v>
      </c>
      <c r="K92" s="23">
        <v>1107</v>
      </c>
    </row>
    <row r="93" spans="1:11" ht="16.5" thickBot="1">
      <c r="A93" s="18">
        <f t="shared" si="1"/>
        <v>88</v>
      </c>
      <c r="B93" s="36" t="s">
        <v>1015</v>
      </c>
      <c r="C93" s="37" t="s">
        <v>1016</v>
      </c>
      <c r="D93" s="37" t="s">
        <v>438</v>
      </c>
      <c r="E93" s="38">
        <v>206</v>
      </c>
      <c r="F93" s="38">
        <v>157</v>
      </c>
      <c r="G93" s="38">
        <v>171</v>
      </c>
      <c r="H93" s="31">
        <v>186</v>
      </c>
      <c r="I93" s="38">
        <v>182</v>
      </c>
      <c r="J93" s="38">
        <v>200</v>
      </c>
      <c r="K93" s="23">
        <v>1102</v>
      </c>
    </row>
    <row r="94" spans="1:11" ht="16.5" thickBot="1">
      <c r="A94" s="18">
        <f t="shared" si="1"/>
        <v>89</v>
      </c>
      <c r="B94" s="36" t="s">
        <v>924</v>
      </c>
      <c r="C94" s="37" t="s">
        <v>1166</v>
      </c>
      <c r="D94" s="37" t="s">
        <v>665</v>
      </c>
      <c r="E94" s="38">
        <v>182</v>
      </c>
      <c r="F94" s="38">
        <v>211</v>
      </c>
      <c r="G94" s="38">
        <v>162</v>
      </c>
      <c r="H94" s="31">
        <v>179</v>
      </c>
      <c r="I94" s="38">
        <v>161</v>
      </c>
      <c r="J94" s="38">
        <v>207</v>
      </c>
      <c r="K94" s="23">
        <v>1102</v>
      </c>
    </row>
    <row r="95" spans="1:11" ht="16.5" thickBot="1">
      <c r="A95" s="18">
        <f t="shared" si="1"/>
        <v>90</v>
      </c>
      <c r="B95" s="36" t="s">
        <v>1324</v>
      </c>
      <c r="C95" s="37" t="s">
        <v>1325</v>
      </c>
      <c r="D95" s="37" t="s">
        <v>799</v>
      </c>
      <c r="E95" s="38">
        <v>156</v>
      </c>
      <c r="F95" s="38">
        <v>164</v>
      </c>
      <c r="G95" s="38">
        <v>224</v>
      </c>
      <c r="H95" s="31">
        <v>212</v>
      </c>
      <c r="I95" s="38">
        <v>178</v>
      </c>
      <c r="J95" s="38">
        <v>168</v>
      </c>
      <c r="K95" s="23">
        <v>1102</v>
      </c>
    </row>
    <row r="96" spans="1:11" ht="16.5" thickBot="1">
      <c r="A96" s="18">
        <f t="shared" si="1"/>
        <v>91</v>
      </c>
      <c r="B96" s="36" t="s">
        <v>1117</v>
      </c>
      <c r="C96" s="37" t="s">
        <v>1118</v>
      </c>
      <c r="D96" s="37" t="s">
        <v>304</v>
      </c>
      <c r="E96" s="38">
        <v>181</v>
      </c>
      <c r="F96" s="38">
        <v>156</v>
      </c>
      <c r="G96" s="38">
        <v>223</v>
      </c>
      <c r="H96" s="31">
        <v>199</v>
      </c>
      <c r="I96" s="38">
        <v>149</v>
      </c>
      <c r="J96" s="38">
        <v>191</v>
      </c>
      <c r="K96" s="23">
        <v>1099</v>
      </c>
    </row>
    <row r="97" spans="1:11" ht="16.5" thickBot="1">
      <c r="A97" s="18">
        <f t="shared" si="1"/>
        <v>92</v>
      </c>
      <c r="B97" s="36" t="s">
        <v>1186</v>
      </c>
      <c r="C97" s="37" t="s">
        <v>1187</v>
      </c>
      <c r="D97" s="37" t="s">
        <v>763</v>
      </c>
      <c r="E97" s="38">
        <v>167</v>
      </c>
      <c r="F97" s="38">
        <v>265</v>
      </c>
      <c r="G97" s="38">
        <v>169</v>
      </c>
      <c r="H97" s="31">
        <v>154</v>
      </c>
      <c r="I97" s="38">
        <v>152</v>
      </c>
      <c r="J97" s="38">
        <v>192</v>
      </c>
      <c r="K97" s="23">
        <v>1099</v>
      </c>
    </row>
    <row r="98" spans="1:11" ht="16.5" thickBot="1">
      <c r="A98" s="18">
        <f t="shared" si="1"/>
        <v>93</v>
      </c>
      <c r="B98" s="36" t="s">
        <v>88</v>
      </c>
      <c r="C98" s="37" t="s">
        <v>1330</v>
      </c>
      <c r="D98" s="37" t="s">
        <v>799</v>
      </c>
      <c r="E98" s="38">
        <v>181</v>
      </c>
      <c r="F98" s="38">
        <v>155</v>
      </c>
      <c r="G98" s="38">
        <v>176</v>
      </c>
      <c r="H98" s="31">
        <v>210</v>
      </c>
      <c r="I98" s="38">
        <v>199</v>
      </c>
      <c r="J98" s="38">
        <v>178</v>
      </c>
      <c r="K98" s="23">
        <v>1099</v>
      </c>
    </row>
    <row r="99" spans="1:11" ht="16.5" thickBot="1">
      <c r="A99" s="18">
        <f t="shared" si="1"/>
        <v>94</v>
      </c>
      <c r="B99" s="36" t="s">
        <v>1137</v>
      </c>
      <c r="C99" s="37" t="s">
        <v>1437</v>
      </c>
      <c r="D99" s="37" t="s">
        <v>231</v>
      </c>
      <c r="E99" s="38">
        <v>191</v>
      </c>
      <c r="F99" s="38">
        <v>158</v>
      </c>
      <c r="G99" s="38">
        <v>225</v>
      </c>
      <c r="H99" s="31">
        <v>187</v>
      </c>
      <c r="I99" s="38">
        <v>156</v>
      </c>
      <c r="J99" s="38">
        <v>182</v>
      </c>
      <c r="K99" s="23">
        <v>1099</v>
      </c>
    </row>
    <row r="100" spans="1:11" ht="16.5" thickBot="1">
      <c r="A100" s="18">
        <f t="shared" si="1"/>
        <v>95</v>
      </c>
      <c r="B100" s="36" t="s">
        <v>1265</v>
      </c>
      <c r="C100" s="37" t="s">
        <v>1266</v>
      </c>
      <c r="D100" s="37" t="s">
        <v>703</v>
      </c>
      <c r="E100" s="38">
        <v>195</v>
      </c>
      <c r="F100" s="38">
        <v>167</v>
      </c>
      <c r="G100" s="38">
        <v>180</v>
      </c>
      <c r="H100" s="31">
        <v>175</v>
      </c>
      <c r="I100" s="38">
        <v>215</v>
      </c>
      <c r="J100" s="38">
        <v>165</v>
      </c>
      <c r="K100" s="23">
        <v>1097</v>
      </c>
    </row>
    <row r="101" spans="1:11" ht="16.5" thickBot="1">
      <c r="A101" s="18">
        <f t="shared" si="1"/>
        <v>96</v>
      </c>
      <c r="B101" s="36" t="s">
        <v>1036</v>
      </c>
      <c r="C101" s="37" t="s">
        <v>1370</v>
      </c>
      <c r="D101" s="37" t="s">
        <v>1359</v>
      </c>
      <c r="E101" s="38">
        <v>176</v>
      </c>
      <c r="F101" s="38">
        <v>158</v>
      </c>
      <c r="G101" s="38">
        <v>167</v>
      </c>
      <c r="H101" s="31">
        <v>204</v>
      </c>
      <c r="I101" s="38">
        <v>195</v>
      </c>
      <c r="J101" s="38">
        <v>195</v>
      </c>
      <c r="K101" s="23">
        <v>1095</v>
      </c>
    </row>
    <row r="102" spans="1:11" ht="16.5" thickBot="1">
      <c r="A102" s="18">
        <f t="shared" si="1"/>
        <v>97</v>
      </c>
      <c r="B102" s="36" t="s">
        <v>1334</v>
      </c>
      <c r="C102" s="37" t="s">
        <v>1335</v>
      </c>
      <c r="D102" s="37" t="s">
        <v>643</v>
      </c>
      <c r="E102" s="38">
        <v>196</v>
      </c>
      <c r="F102" s="38">
        <v>199</v>
      </c>
      <c r="G102" s="38">
        <v>193</v>
      </c>
      <c r="H102" s="31">
        <v>180</v>
      </c>
      <c r="I102" s="38">
        <v>158</v>
      </c>
      <c r="J102" s="38">
        <v>168</v>
      </c>
      <c r="K102" s="23">
        <v>1094</v>
      </c>
    </row>
    <row r="103" spans="1:11" ht="16.5" thickBot="1">
      <c r="A103" s="18">
        <f t="shared" si="1"/>
        <v>98</v>
      </c>
      <c r="B103" s="36" t="s">
        <v>916</v>
      </c>
      <c r="C103" s="37" t="s">
        <v>1216</v>
      </c>
      <c r="D103" s="37" t="s">
        <v>331</v>
      </c>
      <c r="E103" s="38">
        <v>148</v>
      </c>
      <c r="F103" s="38">
        <v>191</v>
      </c>
      <c r="G103" s="38">
        <v>185</v>
      </c>
      <c r="H103" s="31">
        <v>223</v>
      </c>
      <c r="I103" s="38">
        <v>169</v>
      </c>
      <c r="J103" s="38">
        <v>177</v>
      </c>
      <c r="K103" s="23">
        <v>1093</v>
      </c>
    </row>
    <row r="104" spans="1:11" ht="16.5" thickBot="1">
      <c r="A104" s="18">
        <f t="shared" si="1"/>
        <v>99</v>
      </c>
      <c r="B104" s="36" t="s">
        <v>1236</v>
      </c>
      <c r="C104" s="37" t="s">
        <v>1237</v>
      </c>
      <c r="D104" s="37" t="s">
        <v>626</v>
      </c>
      <c r="E104" s="38">
        <v>170</v>
      </c>
      <c r="F104" s="38">
        <v>166</v>
      </c>
      <c r="G104" s="38">
        <v>181</v>
      </c>
      <c r="H104" s="31">
        <v>194</v>
      </c>
      <c r="I104" s="38">
        <v>203</v>
      </c>
      <c r="J104" s="38">
        <v>177</v>
      </c>
      <c r="K104" s="23">
        <v>1091</v>
      </c>
    </row>
    <row r="105" spans="1:11" ht="16.5" thickBot="1">
      <c r="A105" s="18">
        <f t="shared" si="1"/>
        <v>100</v>
      </c>
      <c r="B105" s="36" t="s">
        <v>1061</v>
      </c>
      <c r="C105" s="37" t="s">
        <v>1062</v>
      </c>
      <c r="D105" s="37" t="s">
        <v>547</v>
      </c>
      <c r="E105" s="38">
        <v>153</v>
      </c>
      <c r="F105" s="38">
        <v>163</v>
      </c>
      <c r="G105" s="38">
        <v>195</v>
      </c>
      <c r="H105" s="31">
        <v>166</v>
      </c>
      <c r="I105" s="38">
        <v>212</v>
      </c>
      <c r="J105" s="38">
        <v>201</v>
      </c>
      <c r="K105" s="23">
        <v>1090</v>
      </c>
    </row>
    <row r="106" spans="1:11" ht="16.5" thickBot="1">
      <c r="A106" s="18">
        <f t="shared" si="1"/>
        <v>101</v>
      </c>
      <c r="B106" s="36" t="s">
        <v>1515</v>
      </c>
      <c r="C106" s="37" t="s">
        <v>1516</v>
      </c>
      <c r="D106" s="37" t="s">
        <v>180</v>
      </c>
      <c r="E106" s="38">
        <v>165</v>
      </c>
      <c r="F106" s="38">
        <v>166</v>
      </c>
      <c r="G106" s="38">
        <v>235</v>
      </c>
      <c r="H106" s="31">
        <v>158</v>
      </c>
      <c r="I106" s="38">
        <v>175</v>
      </c>
      <c r="J106" s="38">
        <v>191</v>
      </c>
      <c r="K106" s="23">
        <v>1090</v>
      </c>
    </row>
    <row r="107" spans="1:11" ht="16.5" thickBot="1">
      <c r="A107" s="18">
        <f t="shared" si="1"/>
        <v>102</v>
      </c>
      <c r="B107" s="36" t="s">
        <v>19</v>
      </c>
      <c r="C107" s="37" t="s">
        <v>1193</v>
      </c>
      <c r="D107" s="37" t="s">
        <v>695</v>
      </c>
      <c r="E107" s="38">
        <v>164</v>
      </c>
      <c r="F107" s="38">
        <v>179</v>
      </c>
      <c r="G107" s="38">
        <v>169</v>
      </c>
      <c r="H107" s="31">
        <v>231</v>
      </c>
      <c r="I107" s="38">
        <v>179</v>
      </c>
      <c r="J107" s="38">
        <v>163</v>
      </c>
      <c r="K107" s="23">
        <v>1085</v>
      </c>
    </row>
    <row r="108" spans="1:11" ht="16.5" thickBot="1">
      <c r="A108" s="18">
        <f t="shared" si="1"/>
        <v>103</v>
      </c>
      <c r="B108" s="36" t="s">
        <v>909</v>
      </c>
      <c r="C108" s="37" t="s">
        <v>910</v>
      </c>
      <c r="D108" s="37" t="s">
        <v>98</v>
      </c>
      <c r="E108" s="38">
        <v>152</v>
      </c>
      <c r="F108" s="38">
        <v>149</v>
      </c>
      <c r="G108" s="38">
        <v>167</v>
      </c>
      <c r="H108" s="31">
        <v>199</v>
      </c>
      <c r="I108" s="38">
        <v>206</v>
      </c>
      <c r="J108" s="38">
        <v>211</v>
      </c>
      <c r="K108" s="23">
        <v>1084</v>
      </c>
    </row>
    <row r="109" spans="1:11" ht="16.5" thickBot="1">
      <c r="A109" s="18">
        <f t="shared" si="1"/>
        <v>104</v>
      </c>
      <c r="B109" s="36" t="s">
        <v>1132</v>
      </c>
      <c r="C109" s="37" t="s">
        <v>1068</v>
      </c>
      <c r="D109" s="37" t="s">
        <v>790</v>
      </c>
      <c r="E109" s="38">
        <v>171</v>
      </c>
      <c r="F109" s="38">
        <v>154</v>
      </c>
      <c r="G109" s="38">
        <v>184</v>
      </c>
      <c r="H109" s="31">
        <v>187</v>
      </c>
      <c r="I109" s="38">
        <v>212</v>
      </c>
      <c r="J109" s="38">
        <v>176</v>
      </c>
      <c r="K109" s="23">
        <v>1084</v>
      </c>
    </row>
    <row r="110" spans="1:11" ht="16.5" thickBot="1">
      <c r="A110" s="18">
        <f t="shared" si="1"/>
        <v>105</v>
      </c>
      <c r="B110" s="36" t="s">
        <v>1038</v>
      </c>
      <c r="C110" s="37" t="s">
        <v>869</v>
      </c>
      <c r="D110" s="37" t="s">
        <v>1339</v>
      </c>
      <c r="E110" s="38">
        <v>158</v>
      </c>
      <c r="F110" s="38">
        <v>159</v>
      </c>
      <c r="G110" s="38">
        <v>163</v>
      </c>
      <c r="H110" s="31">
        <v>232</v>
      </c>
      <c r="I110" s="38">
        <v>196</v>
      </c>
      <c r="J110" s="38">
        <v>176</v>
      </c>
      <c r="K110" s="23">
        <v>1084</v>
      </c>
    </row>
    <row r="111" spans="1:11" ht="16.5" thickBot="1">
      <c r="A111" s="18">
        <f t="shared" si="1"/>
        <v>106</v>
      </c>
      <c r="B111" s="36" t="s">
        <v>1203</v>
      </c>
      <c r="C111" s="37" t="s">
        <v>948</v>
      </c>
      <c r="D111" s="37" t="s">
        <v>1199</v>
      </c>
      <c r="E111" s="38">
        <v>158</v>
      </c>
      <c r="F111" s="38">
        <v>170</v>
      </c>
      <c r="G111" s="38">
        <v>167</v>
      </c>
      <c r="H111" s="31">
        <v>187</v>
      </c>
      <c r="I111" s="38">
        <v>210</v>
      </c>
      <c r="J111" s="38">
        <v>190</v>
      </c>
      <c r="K111" s="23">
        <v>1082</v>
      </c>
    </row>
    <row r="112" spans="1:11" ht="16.5" thickBot="1">
      <c r="A112" s="18">
        <f t="shared" si="1"/>
        <v>107</v>
      </c>
      <c r="B112" s="36" t="s">
        <v>1264</v>
      </c>
      <c r="C112" s="37" t="s">
        <v>745</v>
      </c>
      <c r="D112" s="37" t="s">
        <v>703</v>
      </c>
      <c r="E112" s="38">
        <v>165</v>
      </c>
      <c r="F112" s="38">
        <v>198</v>
      </c>
      <c r="G112" s="38">
        <v>161</v>
      </c>
      <c r="H112" s="31">
        <v>182</v>
      </c>
      <c r="I112" s="38">
        <v>190</v>
      </c>
      <c r="J112" s="38">
        <v>185</v>
      </c>
      <c r="K112" s="23">
        <v>1081</v>
      </c>
    </row>
    <row r="113" spans="1:11" ht="16.5" thickBot="1">
      <c r="A113" s="18">
        <f t="shared" si="1"/>
        <v>108</v>
      </c>
      <c r="B113" s="36" t="s">
        <v>128</v>
      </c>
      <c r="C113" s="37" t="s">
        <v>424</v>
      </c>
      <c r="D113" s="37" t="s">
        <v>643</v>
      </c>
      <c r="E113" s="38">
        <v>157</v>
      </c>
      <c r="F113" s="38">
        <v>184</v>
      </c>
      <c r="G113" s="38">
        <v>173</v>
      </c>
      <c r="H113" s="31">
        <v>226</v>
      </c>
      <c r="I113" s="38">
        <v>177</v>
      </c>
      <c r="J113" s="38">
        <v>164</v>
      </c>
      <c r="K113" s="23">
        <v>1081</v>
      </c>
    </row>
    <row r="114" spans="1:11" ht="16.5" thickBot="1">
      <c r="A114" s="18">
        <f t="shared" si="1"/>
        <v>109</v>
      </c>
      <c r="B114" s="36" t="s">
        <v>993</v>
      </c>
      <c r="C114" s="37" t="s">
        <v>1529</v>
      </c>
      <c r="D114" s="37" t="s">
        <v>413</v>
      </c>
      <c r="E114" s="38">
        <v>189</v>
      </c>
      <c r="F114" s="38">
        <v>188</v>
      </c>
      <c r="G114" s="38">
        <v>174</v>
      </c>
      <c r="H114" s="31">
        <v>193</v>
      </c>
      <c r="I114" s="38">
        <v>190</v>
      </c>
      <c r="J114" s="38">
        <v>147</v>
      </c>
      <c r="K114" s="23">
        <v>1081</v>
      </c>
    </row>
    <row r="115" spans="1:11" ht="16.5" thickBot="1">
      <c r="A115" s="18">
        <f t="shared" si="1"/>
        <v>110</v>
      </c>
      <c r="B115" s="36" t="s">
        <v>924</v>
      </c>
      <c r="C115" s="37" t="s">
        <v>1017</v>
      </c>
      <c r="D115" s="37" t="s">
        <v>438</v>
      </c>
      <c r="E115" s="38">
        <v>173</v>
      </c>
      <c r="F115" s="38">
        <v>161</v>
      </c>
      <c r="G115" s="38">
        <v>169</v>
      </c>
      <c r="H115" s="31">
        <v>183</v>
      </c>
      <c r="I115" s="38">
        <v>202</v>
      </c>
      <c r="J115" s="38">
        <v>190</v>
      </c>
      <c r="K115" s="23">
        <v>1078</v>
      </c>
    </row>
    <row r="116" spans="1:11" ht="16.5" thickBot="1">
      <c r="A116" s="18">
        <f t="shared" si="1"/>
        <v>111</v>
      </c>
      <c r="B116" s="36" t="s">
        <v>1070</v>
      </c>
      <c r="C116" s="37" t="s">
        <v>1530</v>
      </c>
      <c r="D116" s="37" t="s">
        <v>413</v>
      </c>
      <c r="E116" s="38">
        <v>203</v>
      </c>
      <c r="F116" s="38">
        <v>177</v>
      </c>
      <c r="G116" s="38">
        <v>172</v>
      </c>
      <c r="H116" s="31">
        <v>179</v>
      </c>
      <c r="I116" s="38">
        <v>168</v>
      </c>
      <c r="J116" s="38">
        <v>179</v>
      </c>
      <c r="K116" s="23">
        <v>1078</v>
      </c>
    </row>
    <row r="117" spans="1:11" ht="16.5" thickBot="1">
      <c r="A117" s="18">
        <f t="shared" si="1"/>
        <v>112</v>
      </c>
      <c r="B117" s="36" t="s">
        <v>1119</v>
      </c>
      <c r="C117" s="37" t="s">
        <v>1120</v>
      </c>
      <c r="D117" s="37" t="s">
        <v>304</v>
      </c>
      <c r="E117" s="38">
        <v>163</v>
      </c>
      <c r="F117" s="38">
        <v>207</v>
      </c>
      <c r="G117" s="38">
        <v>187</v>
      </c>
      <c r="H117" s="31">
        <v>158</v>
      </c>
      <c r="I117" s="38">
        <v>192</v>
      </c>
      <c r="J117" s="38">
        <v>169</v>
      </c>
      <c r="K117" s="23">
        <v>1076</v>
      </c>
    </row>
    <row r="118" spans="1:11" ht="16.5" thickBot="1">
      <c r="A118" s="18">
        <f t="shared" si="1"/>
        <v>113</v>
      </c>
      <c r="B118" s="36" t="s">
        <v>1000</v>
      </c>
      <c r="C118" s="37" t="s">
        <v>1106</v>
      </c>
      <c r="D118" s="37" t="s">
        <v>636</v>
      </c>
      <c r="E118" s="38">
        <v>158</v>
      </c>
      <c r="F118" s="38">
        <v>177</v>
      </c>
      <c r="G118" s="38">
        <v>149</v>
      </c>
      <c r="H118" s="31">
        <v>156</v>
      </c>
      <c r="I118" s="38">
        <v>198</v>
      </c>
      <c r="J118" s="38">
        <v>236</v>
      </c>
      <c r="K118" s="23">
        <v>1074</v>
      </c>
    </row>
    <row r="119" spans="1:11" ht="16.5" thickBot="1">
      <c r="A119" s="18">
        <f t="shared" si="1"/>
        <v>114</v>
      </c>
      <c r="B119" s="36" t="s">
        <v>1109</v>
      </c>
      <c r="C119" s="37" t="s">
        <v>1110</v>
      </c>
      <c r="D119" s="37" t="s">
        <v>636</v>
      </c>
      <c r="E119" s="38">
        <v>179</v>
      </c>
      <c r="F119" s="38">
        <v>135</v>
      </c>
      <c r="G119" s="38">
        <v>205</v>
      </c>
      <c r="H119" s="31">
        <v>207</v>
      </c>
      <c r="I119" s="38">
        <v>214</v>
      </c>
      <c r="J119" s="38">
        <v>132</v>
      </c>
      <c r="K119" s="23">
        <v>1072</v>
      </c>
    </row>
    <row r="120" spans="1:11" ht="16.5" thickBot="1">
      <c r="A120" s="18">
        <f t="shared" si="1"/>
        <v>115</v>
      </c>
      <c r="B120" s="36" t="s">
        <v>929</v>
      </c>
      <c r="C120" s="37" t="s">
        <v>1215</v>
      </c>
      <c r="D120" s="37" t="s">
        <v>331</v>
      </c>
      <c r="E120" s="38">
        <v>162</v>
      </c>
      <c r="F120" s="38">
        <v>244</v>
      </c>
      <c r="G120" s="38">
        <v>160</v>
      </c>
      <c r="H120" s="31">
        <v>166</v>
      </c>
      <c r="I120" s="38">
        <v>170</v>
      </c>
      <c r="J120" s="38">
        <v>170</v>
      </c>
      <c r="K120" s="23">
        <v>1072</v>
      </c>
    </row>
    <row r="121" spans="1:11" ht="16.5" thickBot="1">
      <c r="A121" s="18">
        <f t="shared" si="1"/>
        <v>116</v>
      </c>
      <c r="B121" s="36" t="s">
        <v>1164</v>
      </c>
      <c r="C121" s="37" t="s">
        <v>766</v>
      </c>
      <c r="D121" s="37" t="s">
        <v>1413</v>
      </c>
      <c r="E121" s="38">
        <v>160</v>
      </c>
      <c r="F121" s="38">
        <v>199</v>
      </c>
      <c r="G121" s="38">
        <v>170</v>
      </c>
      <c r="H121" s="31">
        <v>212</v>
      </c>
      <c r="I121" s="38">
        <v>138</v>
      </c>
      <c r="J121" s="38">
        <v>193</v>
      </c>
      <c r="K121" s="23">
        <v>1072</v>
      </c>
    </row>
    <row r="122" spans="1:11" ht="16.5" thickBot="1">
      <c r="A122" s="18">
        <f t="shared" si="1"/>
        <v>117</v>
      </c>
      <c r="B122" s="36" t="s">
        <v>979</v>
      </c>
      <c r="C122" s="37" t="s">
        <v>1023</v>
      </c>
      <c r="D122" s="37" t="s">
        <v>1228</v>
      </c>
      <c r="E122" s="38">
        <v>202</v>
      </c>
      <c r="F122" s="38">
        <v>125</v>
      </c>
      <c r="G122" s="38">
        <v>183</v>
      </c>
      <c r="H122" s="31">
        <v>201</v>
      </c>
      <c r="I122" s="38">
        <v>168</v>
      </c>
      <c r="J122" s="38">
        <v>191</v>
      </c>
      <c r="K122" s="23">
        <v>1070</v>
      </c>
    </row>
    <row r="123" spans="1:11" ht="16.5" thickBot="1">
      <c r="A123" s="18">
        <f t="shared" si="1"/>
        <v>118</v>
      </c>
      <c r="B123" s="36" t="s">
        <v>1172</v>
      </c>
      <c r="C123" s="37" t="s">
        <v>1381</v>
      </c>
      <c r="D123" s="37" t="s">
        <v>514</v>
      </c>
      <c r="E123" s="38">
        <v>253</v>
      </c>
      <c r="F123" s="38">
        <v>183</v>
      </c>
      <c r="G123" s="38">
        <v>134</v>
      </c>
      <c r="H123" s="31">
        <v>167</v>
      </c>
      <c r="I123" s="38">
        <v>169</v>
      </c>
      <c r="J123" s="38">
        <v>164</v>
      </c>
      <c r="K123" s="23">
        <v>1070</v>
      </c>
    </row>
    <row r="124" spans="1:11" ht="16.5" thickBot="1">
      <c r="A124" s="18">
        <f t="shared" si="1"/>
        <v>119</v>
      </c>
      <c r="B124" s="36" t="s">
        <v>1322</v>
      </c>
      <c r="C124" s="37" t="s">
        <v>1323</v>
      </c>
      <c r="D124" s="37" t="s">
        <v>799</v>
      </c>
      <c r="E124" s="38">
        <v>184</v>
      </c>
      <c r="F124" s="38">
        <v>164</v>
      </c>
      <c r="G124" s="38">
        <v>153</v>
      </c>
      <c r="H124" s="31">
        <v>159</v>
      </c>
      <c r="I124" s="38">
        <v>174</v>
      </c>
      <c r="J124" s="38">
        <v>235</v>
      </c>
      <c r="K124" s="23">
        <v>1069</v>
      </c>
    </row>
    <row r="125" spans="1:11" ht="16.5" thickBot="1">
      <c r="A125" s="18">
        <f t="shared" si="1"/>
        <v>120</v>
      </c>
      <c r="B125" s="36" t="s">
        <v>1134</v>
      </c>
      <c r="C125" s="37" t="s">
        <v>1135</v>
      </c>
      <c r="D125" s="37" t="s">
        <v>790</v>
      </c>
      <c r="E125" s="38">
        <v>145</v>
      </c>
      <c r="F125" s="38">
        <v>176</v>
      </c>
      <c r="G125" s="38">
        <v>183</v>
      </c>
      <c r="H125" s="31">
        <v>180</v>
      </c>
      <c r="I125" s="38">
        <v>199</v>
      </c>
      <c r="J125" s="38">
        <v>184</v>
      </c>
      <c r="K125" s="23">
        <v>1067</v>
      </c>
    </row>
    <row r="126" spans="1:11" ht="16.5" thickBot="1">
      <c r="A126" s="18">
        <f t="shared" si="1"/>
        <v>121</v>
      </c>
      <c r="B126" s="36" t="s">
        <v>893</v>
      </c>
      <c r="C126" s="37" t="s">
        <v>894</v>
      </c>
      <c r="D126" s="37" t="s">
        <v>781</v>
      </c>
      <c r="E126" s="38">
        <v>181</v>
      </c>
      <c r="F126" s="38">
        <v>178</v>
      </c>
      <c r="G126" s="38">
        <v>174</v>
      </c>
      <c r="H126" s="31">
        <v>170</v>
      </c>
      <c r="I126" s="38">
        <v>195</v>
      </c>
      <c r="J126" s="38">
        <v>166</v>
      </c>
      <c r="K126" s="23">
        <v>1064</v>
      </c>
    </row>
    <row r="127" spans="1:11" ht="16.5" thickBot="1">
      <c r="A127" s="18">
        <f t="shared" si="1"/>
        <v>122</v>
      </c>
      <c r="B127" s="36" t="s">
        <v>1047</v>
      </c>
      <c r="C127" s="37" t="s">
        <v>1196</v>
      </c>
      <c r="D127" s="37" t="s">
        <v>695</v>
      </c>
      <c r="E127" s="38">
        <v>199</v>
      </c>
      <c r="F127" s="38">
        <v>158</v>
      </c>
      <c r="G127" s="38">
        <v>199</v>
      </c>
      <c r="H127" s="31">
        <v>144</v>
      </c>
      <c r="I127" s="38">
        <v>180</v>
      </c>
      <c r="J127" s="38">
        <v>183</v>
      </c>
      <c r="K127" s="23">
        <v>1063</v>
      </c>
    </row>
    <row r="128" spans="1:11" ht="16.5" thickBot="1">
      <c r="A128" s="18">
        <f t="shared" si="1"/>
        <v>123</v>
      </c>
      <c r="B128" s="36" t="s">
        <v>406</v>
      </c>
      <c r="C128" s="37" t="s">
        <v>1300</v>
      </c>
      <c r="D128" s="37" t="s">
        <v>617</v>
      </c>
      <c r="E128" s="38">
        <v>201</v>
      </c>
      <c r="F128" s="38">
        <v>152</v>
      </c>
      <c r="G128" s="38">
        <v>189</v>
      </c>
      <c r="H128" s="31">
        <v>171</v>
      </c>
      <c r="I128" s="38">
        <v>169</v>
      </c>
      <c r="J128" s="38">
        <v>180</v>
      </c>
      <c r="K128" s="23">
        <v>1062</v>
      </c>
    </row>
    <row r="129" spans="1:11" ht="16.5" thickBot="1">
      <c r="A129" s="18">
        <f t="shared" si="1"/>
        <v>124</v>
      </c>
      <c r="B129" s="36" t="s">
        <v>1337</v>
      </c>
      <c r="C129" s="37" t="s">
        <v>1022</v>
      </c>
      <c r="D129" s="37" t="s">
        <v>643</v>
      </c>
      <c r="E129" s="38">
        <v>183</v>
      </c>
      <c r="F129" s="38">
        <v>141</v>
      </c>
      <c r="G129" s="38">
        <v>201</v>
      </c>
      <c r="H129" s="31">
        <v>165</v>
      </c>
      <c r="I129" s="38">
        <v>186</v>
      </c>
      <c r="J129" s="38">
        <v>184</v>
      </c>
      <c r="K129" s="23">
        <v>1060</v>
      </c>
    </row>
    <row r="130" spans="1:11" ht="16.5" thickBot="1">
      <c r="A130" s="18">
        <f t="shared" si="1"/>
        <v>125</v>
      </c>
      <c r="B130" s="36" t="s">
        <v>901</v>
      </c>
      <c r="C130" s="37" t="s">
        <v>1468</v>
      </c>
      <c r="D130" s="37" t="s">
        <v>464</v>
      </c>
      <c r="E130" s="38">
        <v>146</v>
      </c>
      <c r="F130" s="38">
        <v>202</v>
      </c>
      <c r="G130" s="38">
        <v>179</v>
      </c>
      <c r="H130" s="31">
        <v>172</v>
      </c>
      <c r="I130" s="38">
        <v>212</v>
      </c>
      <c r="J130" s="38">
        <v>149</v>
      </c>
      <c r="K130" s="23">
        <v>1060</v>
      </c>
    </row>
    <row r="131" spans="1:11" ht="16.5" thickBot="1">
      <c r="A131" s="18">
        <f t="shared" si="1"/>
        <v>126</v>
      </c>
      <c r="B131" s="36" t="s">
        <v>1270</v>
      </c>
      <c r="C131" s="37" t="s">
        <v>1271</v>
      </c>
      <c r="D131" s="37" t="s">
        <v>856</v>
      </c>
      <c r="E131" s="38">
        <v>193</v>
      </c>
      <c r="F131" s="38">
        <v>143</v>
      </c>
      <c r="G131" s="38">
        <v>195</v>
      </c>
      <c r="H131" s="31">
        <v>202</v>
      </c>
      <c r="I131" s="38">
        <v>166</v>
      </c>
      <c r="J131" s="38">
        <v>157</v>
      </c>
      <c r="K131" s="23">
        <v>1056</v>
      </c>
    </row>
    <row r="132" spans="1:11" ht="16.5" thickBot="1">
      <c r="A132" s="18">
        <f t="shared" si="1"/>
        <v>127</v>
      </c>
      <c r="B132" s="36" t="s">
        <v>1301</v>
      </c>
      <c r="C132" s="37" t="s">
        <v>1302</v>
      </c>
      <c r="D132" s="37" t="s">
        <v>617</v>
      </c>
      <c r="E132" s="38">
        <v>164</v>
      </c>
      <c r="F132" s="38">
        <v>176</v>
      </c>
      <c r="G132" s="38">
        <v>170</v>
      </c>
      <c r="H132" s="31">
        <v>179</v>
      </c>
      <c r="I132" s="38">
        <v>190</v>
      </c>
      <c r="J132" s="38">
        <v>177</v>
      </c>
      <c r="K132" s="23">
        <v>1056</v>
      </c>
    </row>
    <row r="133" spans="1:11" ht="16.5" thickBot="1">
      <c r="A133" s="18">
        <f t="shared" si="1"/>
        <v>128</v>
      </c>
      <c r="B133" s="36" t="s">
        <v>1156</v>
      </c>
      <c r="C133" s="37" t="s">
        <v>238</v>
      </c>
      <c r="D133" s="37" t="s">
        <v>772</v>
      </c>
      <c r="E133" s="38">
        <v>153</v>
      </c>
      <c r="F133" s="38">
        <v>189</v>
      </c>
      <c r="G133" s="38">
        <v>168</v>
      </c>
      <c r="H133" s="31">
        <v>165</v>
      </c>
      <c r="I133" s="38">
        <v>181</v>
      </c>
      <c r="J133" s="38">
        <v>198</v>
      </c>
      <c r="K133" s="23">
        <v>1054</v>
      </c>
    </row>
    <row r="134" spans="1:11" ht="16.5" thickBot="1">
      <c r="A134" s="18">
        <f t="shared" si="1"/>
        <v>129</v>
      </c>
      <c r="B134" s="36" t="s">
        <v>941</v>
      </c>
      <c r="C134" s="37" t="s">
        <v>940</v>
      </c>
      <c r="D134" s="37" t="s">
        <v>932</v>
      </c>
      <c r="E134" s="38">
        <v>125</v>
      </c>
      <c r="F134" s="38">
        <v>175</v>
      </c>
      <c r="G134" s="38">
        <v>212</v>
      </c>
      <c r="H134" s="31">
        <v>164</v>
      </c>
      <c r="I134" s="38">
        <v>176</v>
      </c>
      <c r="J134" s="38">
        <v>201</v>
      </c>
      <c r="K134" s="23">
        <v>1053</v>
      </c>
    </row>
    <row r="135" spans="1:11" ht="16.5" thickBot="1">
      <c r="A135" s="18">
        <f t="shared" si="1"/>
        <v>130</v>
      </c>
      <c r="B135" s="36" t="s">
        <v>1038</v>
      </c>
      <c r="C135" s="37" t="s">
        <v>1200</v>
      </c>
      <c r="D135" s="37" t="s">
        <v>1199</v>
      </c>
      <c r="E135" s="38">
        <v>208</v>
      </c>
      <c r="F135" s="38">
        <v>183</v>
      </c>
      <c r="G135" s="38">
        <v>180</v>
      </c>
      <c r="H135" s="31">
        <v>143</v>
      </c>
      <c r="I135" s="38">
        <v>172</v>
      </c>
      <c r="J135" s="38">
        <v>163</v>
      </c>
      <c r="K135" s="23">
        <v>1049</v>
      </c>
    </row>
    <row r="136" spans="1:11" ht="16.5" thickBot="1">
      <c r="A136" s="18">
        <f t="shared" ref="A136:A199" si="2">A135+1</f>
        <v>131</v>
      </c>
      <c r="B136" s="36" t="s">
        <v>1211</v>
      </c>
      <c r="C136" s="37" t="s">
        <v>1212</v>
      </c>
      <c r="D136" s="37" t="s">
        <v>331</v>
      </c>
      <c r="E136" s="38">
        <v>189</v>
      </c>
      <c r="F136" s="38">
        <v>163</v>
      </c>
      <c r="G136" s="38">
        <v>166</v>
      </c>
      <c r="H136" s="31">
        <v>185</v>
      </c>
      <c r="I136" s="38">
        <v>164</v>
      </c>
      <c r="J136" s="38">
        <v>182</v>
      </c>
      <c r="K136" s="23">
        <v>1049</v>
      </c>
    </row>
    <row r="137" spans="1:11" ht="16.5" thickBot="1">
      <c r="A137" s="18">
        <f t="shared" si="2"/>
        <v>132</v>
      </c>
      <c r="B137" s="36" t="s">
        <v>1084</v>
      </c>
      <c r="C137" s="37" t="s">
        <v>1342</v>
      </c>
      <c r="D137" s="37" t="s">
        <v>1339</v>
      </c>
      <c r="E137" s="38">
        <v>213</v>
      </c>
      <c r="F137" s="38">
        <v>203</v>
      </c>
      <c r="G137" s="38">
        <v>173</v>
      </c>
      <c r="H137" s="31">
        <v>145</v>
      </c>
      <c r="I137" s="38">
        <v>163</v>
      </c>
      <c r="J137" s="38">
        <v>152</v>
      </c>
      <c r="K137" s="23">
        <v>1049</v>
      </c>
    </row>
    <row r="138" spans="1:11" ht="16.5" thickBot="1">
      <c r="A138" s="18">
        <f t="shared" si="2"/>
        <v>133</v>
      </c>
      <c r="B138" s="36" t="s">
        <v>984</v>
      </c>
      <c r="C138" s="37" t="s">
        <v>985</v>
      </c>
      <c r="D138" s="37" t="s">
        <v>281</v>
      </c>
      <c r="E138" s="38">
        <v>174</v>
      </c>
      <c r="F138" s="38">
        <v>165</v>
      </c>
      <c r="G138" s="38">
        <v>194</v>
      </c>
      <c r="H138" s="31">
        <v>134</v>
      </c>
      <c r="I138" s="38">
        <v>180</v>
      </c>
      <c r="J138" s="38">
        <v>199</v>
      </c>
      <c r="K138" s="23">
        <v>1046</v>
      </c>
    </row>
    <row r="139" spans="1:11" ht="16.5" thickBot="1">
      <c r="A139" s="18">
        <f t="shared" si="2"/>
        <v>134</v>
      </c>
      <c r="B139" s="36" t="s">
        <v>1000</v>
      </c>
      <c r="C139" s="37" t="s">
        <v>1438</v>
      </c>
      <c r="D139" s="37" t="s">
        <v>231</v>
      </c>
      <c r="E139" s="38">
        <v>166</v>
      </c>
      <c r="F139" s="38">
        <v>112</v>
      </c>
      <c r="G139" s="38">
        <v>210</v>
      </c>
      <c r="H139" s="31">
        <v>171</v>
      </c>
      <c r="I139" s="38">
        <v>170</v>
      </c>
      <c r="J139" s="38">
        <v>216</v>
      </c>
      <c r="K139" s="23">
        <v>1045</v>
      </c>
    </row>
    <row r="140" spans="1:11" ht="16.5" thickBot="1">
      <c r="A140" s="18">
        <f t="shared" si="2"/>
        <v>135</v>
      </c>
      <c r="B140" s="36" t="s">
        <v>1242</v>
      </c>
      <c r="C140" s="37" t="s">
        <v>1243</v>
      </c>
      <c r="D140" s="37" t="s">
        <v>626</v>
      </c>
      <c r="E140" s="38">
        <v>157</v>
      </c>
      <c r="F140" s="38">
        <v>157</v>
      </c>
      <c r="G140" s="38">
        <v>184</v>
      </c>
      <c r="H140" s="31">
        <v>175</v>
      </c>
      <c r="I140" s="38">
        <v>175</v>
      </c>
      <c r="J140" s="38">
        <v>196</v>
      </c>
      <c r="K140" s="23">
        <v>1044</v>
      </c>
    </row>
    <row r="141" spans="1:11" ht="16.5" thickBot="1">
      <c r="A141" s="18">
        <f t="shared" si="2"/>
        <v>136</v>
      </c>
      <c r="B141" s="36" t="s">
        <v>1093</v>
      </c>
      <c r="C141" s="37" t="s">
        <v>1094</v>
      </c>
      <c r="D141" s="37" t="s">
        <v>536</v>
      </c>
      <c r="E141" s="38">
        <v>153</v>
      </c>
      <c r="F141" s="38">
        <v>157</v>
      </c>
      <c r="G141" s="38">
        <v>149</v>
      </c>
      <c r="H141" s="31">
        <v>196</v>
      </c>
      <c r="I141" s="38">
        <v>182</v>
      </c>
      <c r="J141" s="38">
        <v>202</v>
      </c>
      <c r="K141" s="23">
        <v>1039</v>
      </c>
    </row>
    <row r="142" spans="1:11" ht="16.5" thickBot="1">
      <c r="A142" s="18">
        <f t="shared" si="2"/>
        <v>137</v>
      </c>
      <c r="B142" s="36" t="s">
        <v>1080</v>
      </c>
      <c r="C142" s="37" t="s">
        <v>1081</v>
      </c>
      <c r="D142" s="37" t="s">
        <v>479</v>
      </c>
      <c r="E142" s="38">
        <v>163</v>
      </c>
      <c r="F142" s="38">
        <v>180</v>
      </c>
      <c r="G142" s="38">
        <v>154</v>
      </c>
      <c r="H142" s="31">
        <v>176</v>
      </c>
      <c r="I142" s="38">
        <v>181</v>
      </c>
      <c r="J142" s="38">
        <v>183</v>
      </c>
      <c r="K142" s="23">
        <v>1037</v>
      </c>
    </row>
    <row r="143" spans="1:11" ht="16.5" thickBot="1">
      <c r="A143" s="18">
        <f t="shared" si="2"/>
        <v>138</v>
      </c>
      <c r="B143" s="36" t="s">
        <v>1441</v>
      </c>
      <c r="C143" s="37" t="s">
        <v>1442</v>
      </c>
      <c r="D143" s="37" t="s">
        <v>772</v>
      </c>
      <c r="E143" s="38">
        <v>169</v>
      </c>
      <c r="F143" s="38">
        <v>234</v>
      </c>
      <c r="G143" s="38">
        <v>139</v>
      </c>
      <c r="H143" s="31">
        <v>174</v>
      </c>
      <c r="I143" s="38">
        <v>131</v>
      </c>
      <c r="J143" s="38">
        <v>188</v>
      </c>
      <c r="K143" s="23">
        <v>1035</v>
      </c>
    </row>
    <row r="144" spans="1:11" ht="16.5" thickBot="1">
      <c r="A144" s="18">
        <f t="shared" si="2"/>
        <v>139</v>
      </c>
      <c r="B144" s="36" t="s">
        <v>1436</v>
      </c>
      <c r="C144" s="37" t="s">
        <v>1439</v>
      </c>
      <c r="D144" s="37" t="s">
        <v>231</v>
      </c>
      <c r="E144" s="38">
        <v>161</v>
      </c>
      <c r="F144" s="38">
        <v>104</v>
      </c>
      <c r="G144" s="38">
        <v>198</v>
      </c>
      <c r="H144" s="31">
        <v>195</v>
      </c>
      <c r="I144" s="38">
        <v>166</v>
      </c>
      <c r="J144" s="38">
        <v>210</v>
      </c>
      <c r="K144" s="23">
        <v>1034</v>
      </c>
    </row>
    <row r="145" spans="1:11" ht="16.5" thickBot="1">
      <c r="A145" s="18">
        <f t="shared" si="2"/>
        <v>140</v>
      </c>
      <c r="B145" s="36" t="s">
        <v>1000</v>
      </c>
      <c r="C145" s="37" t="s">
        <v>1001</v>
      </c>
      <c r="D145" s="37" t="s">
        <v>262</v>
      </c>
      <c r="E145" s="38">
        <v>177</v>
      </c>
      <c r="F145" s="38">
        <v>173</v>
      </c>
      <c r="G145" s="38">
        <v>160</v>
      </c>
      <c r="H145" s="31">
        <v>158</v>
      </c>
      <c r="I145" s="38">
        <v>191</v>
      </c>
      <c r="J145" s="38">
        <v>173</v>
      </c>
      <c r="K145" s="23">
        <v>1032</v>
      </c>
    </row>
    <row r="146" spans="1:11" ht="16.5" thickBot="1">
      <c r="A146" s="18">
        <f t="shared" si="2"/>
        <v>141</v>
      </c>
      <c r="B146" s="36" t="s">
        <v>1007</v>
      </c>
      <c r="C146" s="37" t="s">
        <v>1008</v>
      </c>
      <c r="D146" s="37" t="s">
        <v>262</v>
      </c>
      <c r="E146" s="38">
        <v>171</v>
      </c>
      <c r="F146" s="38">
        <v>205</v>
      </c>
      <c r="G146" s="38">
        <v>194</v>
      </c>
      <c r="H146" s="31">
        <v>178</v>
      </c>
      <c r="I146" s="38">
        <v>152</v>
      </c>
      <c r="J146" s="38">
        <v>129</v>
      </c>
      <c r="K146" s="23">
        <v>1029</v>
      </c>
    </row>
    <row r="147" spans="1:11" ht="16.5" thickBot="1">
      <c r="A147" s="18">
        <f t="shared" si="2"/>
        <v>142</v>
      </c>
      <c r="B147" s="36" t="s">
        <v>1354</v>
      </c>
      <c r="C147" s="37" t="s">
        <v>1277</v>
      </c>
      <c r="D147" s="37" t="s">
        <v>44</v>
      </c>
      <c r="E147" s="38">
        <v>177</v>
      </c>
      <c r="F147" s="38">
        <v>164</v>
      </c>
      <c r="G147" s="38">
        <v>163</v>
      </c>
      <c r="H147" s="31">
        <v>197</v>
      </c>
      <c r="I147" s="38">
        <v>185</v>
      </c>
      <c r="J147" s="38">
        <v>143</v>
      </c>
      <c r="K147" s="23">
        <v>1029</v>
      </c>
    </row>
    <row r="148" spans="1:11" ht="16.5" thickBot="1">
      <c r="A148" s="18">
        <f t="shared" si="2"/>
        <v>143</v>
      </c>
      <c r="B148" s="36" t="s">
        <v>1502</v>
      </c>
      <c r="C148" s="37" t="s">
        <v>1503</v>
      </c>
      <c r="D148" s="37" t="s">
        <v>363</v>
      </c>
      <c r="E148" s="38">
        <v>159</v>
      </c>
      <c r="F148" s="38">
        <v>197</v>
      </c>
      <c r="G148" s="38">
        <v>173</v>
      </c>
      <c r="H148" s="31">
        <v>200</v>
      </c>
      <c r="I148" s="38">
        <v>148</v>
      </c>
      <c r="J148" s="38">
        <v>152</v>
      </c>
      <c r="K148" s="23">
        <v>1029</v>
      </c>
    </row>
    <row r="149" spans="1:11" ht="16.5" thickBot="1">
      <c r="A149" s="18">
        <f t="shared" si="2"/>
        <v>144</v>
      </c>
      <c r="B149" s="36" t="s">
        <v>1103</v>
      </c>
      <c r="C149" s="37" t="s">
        <v>1452</v>
      </c>
      <c r="D149" s="37" t="s">
        <v>807</v>
      </c>
      <c r="E149" s="38">
        <v>171</v>
      </c>
      <c r="F149" s="38">
        <v>167</v>
      </c>
      <c r="G149" s="38">
        <v>158</v>
      </c>
      <c r="H149" s="31">
        <v>187</v>
      </c>
      <c r="I149" s="38">
        <v>169</v>
      </c>
      <c r="J149" s="38">
        <v>176</v>
      </c>
      <c r="K149" s="23">
        <v>1028</v>
      </c>
    </row>
    <row r="150" spans="1:11" ht="16.5" thickBot="1">
      <c r="A150" s="18">
        <f t="shared" si="2"/>
        <v>145</v>
      </c>
      <c r="B150" s="36" t="s">
        <v>1000</v>
      </c>
      <c r="C150" s="37" t="s">
        <v>1290</v>
      </c>
      <c r="D150" s="37" t="s">
        <v>1289</v>
      </c>
      <c r="E150" s="38">
        <v>164</v>
      </c>
      <c r="F150" s="38">
        <v>183</v>
      </c>
      <c r="G150" s="38">
        <v>173</v>
      </c>
      <c r="H150" s="31">
        <v>161</v>
      </c>
      <c r="I150" s="38">
        <v>179</v>
      </c>
      <c r="J150" s="38">
        <v>166</v>
      </c>
      <c r="K150" s="23">
        <v>1026</v>
      </c>
    </row>
    <row r="151" spans="1:11" ht="16.5" thickBot="1">
      <c r="A151" s="18">
        <f t="shared" si="2"/>
        <v>146</v>
      </c>
      <c r="B151" s="36" t="s">
        <v>1000</v>
      </c>
      <c r="C151" s="37" t="s">
        <v>1447</v>
      </c>
      <c r="D151" s="37" t="s">
        <v>807</v>
      </c>
      <c r="E151" s="38">
        <v>141</v>
      </c>
      <c r="F151" s="38">
        <v>184</v>
      </c>
      <c r="G151" s="38">
        <v>159</v>
      </c>
      <c r="H151" s="31">
        <v>139</v>
      </c>
      <c r="I151" s="38">
        <v>211</v>
      </c>
      <c r="J151" s="38">
        <v>190</v>
      </c>
      <c r="K151" s="23">
        <v>1024</v>
      </c>
    </row>
    <row r="152" spans="1:11" ht="16.5" thickBot="1">
      <c r="A152" s="18">
        <f t="shared" si="2"/>
        <v>147</v>
      </c>
      <c r="B152" s="36" t="s">
        <v>1032</v>
      </c>
      <c r="C152" s="37" t="s">
        <v>1033</v>
      </c>
      <c r="D152" s="37" t="s">
        <v>1024</v>
      </c>
      <c r="E152" s="38">
        <v>204</v>
      </c>
      <c r="F152" s="38">
        <v>210</v>
      </c>
      <c r="G152" s="38">
        <v>167</v>
      </c>
      <c r="H152" s="31">
        <v>168</v>
      </c>
      <c r="I152" s="38">
        <v>124</v>
      </c>
      <c r="J152" s="38">
        <v>150</v>
      </c>
      <c r="K152" s="23">
        <v>1023</v>
      </c>
    </row>
    <row r="153" spans="1:11" ht="16.5" thickBot="1">
      <c r="A153" s="18">
        <f t="shared" si="2"/>
        <v>148</v>
      </c>
      <c r="B153" s="36" t="s">
        <v>907</v>
      </c>
      <c r="C153" s="37" t="s">
        <v>908</v>
      </c>
      <c r="D153" s="37" t="s">
        <v>98</v>
      </c>
      <c r="E153" s="38">
        <v>161</v>
      </c>
      <c r="F153" s="38">
        <v>150</v>
      </c>
      <c r="G153" s="38">
        <v>167</v>
      </c>
      <c r="H153" s="31">
        <v>192</v>
      </c>
      <c r="I153" s="38">
        <v>181</v>
      </c>
      <c r="J153" s="38">
        <v>171</v>
      </c>
      <c r="K153" s="23">
        <v>1022</v>
      </c>
    </row>
    <row r="154" spans="1:11" ht="16.5" thickBot="1">
      <c r="A154" s="18">
        <f t="shared" si="2"/>
        <v>149</v>
      </c>
      <c r="B154" s="36" t="s">
        <v>1310</v>
      </c>
      <c r="C154" s="37" t="s">
        <v>1340</v>
      </c>
      <c r="D154" s="37" t="s">
        <v>1339</v>
      </c>
      <c r="E154" s="38">
        <v>153</v>
      </c>
      <c r="F154" s="38">
        <v>133</v>
      </c>
      <c r="G154" s="38">
        <v>187</v>
      </c>
      <c r="H154" s="31">
        <v>179</v>
      </c>
      <c r="I154" s="38">
        <v>164</v>
      </c>
      <c r="J154" s="38">
        <v>201</v>
      </c>
      <c r="K154" s="23">
        <v>1017</v>
      </c>
    </row>
    <row r="155" spans="1:11" ht="16.5" thickBot="1">
      <c r="A155" s="18">
        <f t="shared" si="2"/>
        <v>150</v>
      </c>
      <c r="B155" s="36" t="s">
        <v>400</v>
      </c>
      <c r="C155" s="37" t="s">
        <v>1535</v>
      </c>
      <c r="D155" s="37" t="s">
        <v>1534</v>
      </c>
      <c r="E155" s="38">
        <v>181</v>
      </c>
      <c r="F155" s="38">
        <v>180</v>
      </c>
      <c r="G155" s="38">
        <v>169</v>
      </c>
      <c r="H155" s="31">
        <v>168</v>
      </c>
      <c r="I155" s="38">
        <v>159</v>
      </c>
      <c r="J155" s="38">
        <v>156</v>
      </c>
      <c r="K155" s="23">
        <v>1013</v>
      </c>
    </row>
    <row r="156" spans="1:11" ht="16.5" thickBot="1">
      <c r="A156" s="18">
        <f t="shared" si="2"/>
        <v>151</v>
      </c>
      <c r="B156" s="36" t="s">
        <v>1056</v>
      </c>
      <c r="C156" s="37" t="s">
        <v>1057</v>
      </c>
      <c r="D156" s="37" t="s">
        <v>547</v>
      </c>
      <c r="E156" s="38">
        <v>136</v>
      </c>
      <c r="F156" s="38">
        <v>156</v>
      </c>
      <c r="G156" s="38">
        <v>187</v>
      </c>
      <c r="H156" s="31">
        <v>191</v>
      </c>
      <c r="I156" s="38">
        <v>161</v>
      </c>
      <c r="J156" s="38">
        <v>180</v>
      </c>
      <c r="K156" s="23">
        <v>1011</v>
      </c>
    </row>
    <row r="157" spans="1:11" ht="16.5" thickBot="1">
      <c r="A157" s="18">
        <f t="shared" si="2"/>
        <v>152</v>
      </c>
      <c r="B157" s="36" t="s">
        <v>1142</v>
      </c>
      <c r="C157" s="37" t="s">
        <v>1143</v>
      </c>
      <c r="D157" s="37" t="s">
        <v>127</v>
      </c>
      <c r="E157" s="38">
        <v>169</v>
      </c>
      <c r="F157" s="38">
        <v>180</v>
      </c>
      <c r="G157" s="38">
        <v>163</v>
      </c>
      <c r="H157" s="31">
        <v>190</v>
      </c>
      <c r="I157" s="38">
        <v>164</v>
      </c>
      <c r="J157" s="38">
        <v>144</v>
      </c>
      <c r="K157" s="23">
        <v>1010</v>
      </c>
    </row>
    <row r="158" spans="1:11" ht="16.5" thickBot="1">
      <c r="A158" s="18">
        <f t="shared" si="2"/>
        <v>153</v>
      </c>
      <c r="B158" s="36" t="s">
        <v>954</v>
      </c>
      <c r="C158" s="37" t="s">
        <v>955</v>
      </c>
      <c r="D158" s="37" t="s">
        <v>295</v>
      </c>
      <c r="E158" s="38">
        <v>190</v>
      </c>
      <c r="F158" s="38">
        <v>145</v>
      </c>
      <c r="G158" s="38">
        <v>181</v>
      </c>
      <c r="H158" s="31">
        <v>158</v>
      </c>
      <c r="I158" s="38">
        <v>174</v>
      </c>
      <c r="J158" s="38">
        <v>161</v>
      </c>
      <c r="K158" s="23">
        <v>1009</v>
      </c>
    </row>
    <row r="159" spans="1:11" ht="16.5" thickBot="1">
      <c r="A159" s="18">
        <f t="shared" si="2"/>
        <v>154</v>
      </c>
      <c r="B159" s="36" t="s">
        <v>984</v>
      </c>
      <c r="C159" s="37" t="s">
        <v>894</v>
      </c>
      <c r="D159" s="37" t="s">
        <v>231</v>
      </c>
      <c r="E159" s="38">
        <v>159</v>
      </c>
      <c r="F159" s="38">
        <v>164</v>
      </c>
      <c r="G159" s="38">
        <v>154</v>
      </c>
      <c r="H159" s="31">
        <v>165</v>
      </c>
      <c r="I159" s="38">
        <v>208</v>
      </c>
      <c r="J159" s="38">
        <v>158</v>
      </c>
      <c r="K159" s="23">
        <v>1008</v>
      </c>
    </row>
    <row r="160" spans="1:11" ht="16.5" thickBot="1">
      <c r="A160" s="18">
        <f t="shared" si="2"/>
        <v>155</v>
      </c>
      <c r="B160" s="36" t="s">
        <v>1245</v>
      </c>
      <c r="C160" s="37" t="s">
        <v>1358</v>
      </c>
      <c r="D160" s="37" t="s">
        <v>44</v>
      </c>
      <c r="E160" s="38">
        <v>199</v>
      </c>
      <c r="F160" s="38">
        <v>149</v>
      </c>
      <c r="G160" s="38">
        <v>177</v>
      </c>
      <c r="H160" s="31">
        <v>163</v>
      </c>
      <c r="I160" s="38">
        <v>154</v>
      </c>
      <c r="J160" s="38">
        <v>165</v>
      </c>
      <c r="K160" s="23">
        <v>1007</v>
      </c>
    </row>
    <row r="161" spans="1:11" ht="16.5" thickBot="1">
      <c r="A161" s="18">
        <f t="shared" si="2"/>
        <v>156</v>
      </c>
      <c r="B161" s="36" t="s">
        <v>1318</v>
      </c>
      <c r="C161" s="37" t="s">
        <v>97</v>
      </c>
      <c r="D161" s="37" t="s">
        <v>1315</v>
      </c>
      <c r="E161" s="38">
        <v>202</v>
      </c>
      <c r="F161" s="38">
        <v>148</v>
      </c>
      <c r="G161" s="38">
        <v>154</v>
      </c>
      <c r="H161" s="31">
        <v>190</v>
      </c>
      <c r="I161" s="38">
        <v>164</v>
      </c>
      <c r="J161" s="38">
        <v>148</v>
      </c>
      <c r="K161" s="23">
        <v>1006</v>
      </c>
    </row>
    <row r="162" spans="1:11" ht="16.5" thickBot="1">
      <c r="A162" s="18">
        <f t="shared" si="2"/>
        <v>157</v>
      </c>
      <c r="B162" s="36" t="s">
        <v>986</v>
      </c>
      <c r="C162" s="37" t="s">
        <v>1020</v>
      </c>
      <c r="D162" s="37" t="s">
        <v>27</v>
      </c>
      <c r="E162" s="38">
        <v>162</v>
      </c>
      <c r="F162" s="38">
        <v>149</v>
      </c>
      <c r="G162" s="38">
        <v>143</v>
      </c>
      <c r="H162" s="31">
        <v>154</v>
      </c>
      <c r="I162" s="38">
        <v>187</v>
      </c>
      <c r="J162" s="38">
        <v>210</v>
      </c>
      <c r="K162" s="23">
        <v>1005</v>
      </c>
    </row>
    <row r="163" spans="1:11" ht="16.5" thickBot="1">
      <c r="A163" s="18">
        <f t="shared" si="2"/>
        <v>158</v>
      </c>
      <c r="B163" s="36" t="s">
        <v>907</v>
      </c>
      <c r="C163" s="37" t="s">
        <v>972</v>
      </c>
      <c r="D163" s="37" t="s">
        <v>1534</v>
      </c>
      <c r="E163" s="38">
        <v>160</v>
      </c>
      <c r="F163" s="38">
        <v>131</v>
      </c>
      <c r="G163" s="38">
        <v>204</v>
      </c>
      <c r="H163" s="31">
        <v>167</v>
      </c>
      <c r="I163" s="38">
        <v>163</v>
      </c>
      <c r="J163" s="38">
        <v>178</v>
      </c>
      <c r="K163" s="23">
        <v>1003</v>
      </c>
    </row>
    <row r="164" spans="1:11" ht="16.5" thickBot="1">
      <c r="A164" s="18">
        <f t="shared" si="2"/>
        <v>159</v>
      </c>
      <c r="B164" s="36" t="s">
        <v>1249</v>
      </c>
      <c r="C164" s="37" t="s">
        <v>1250</v>
      </c>
      <c r="D164" s="37" t="s">
        <v>113</v>
      </c>
      <c r="E164" s="38">
        <v>160</v>
      </c>
      <c r="F164" s="38">
        <v>185</v>
      </c>
      <c r="G164" s="38">
        <v>179</v>
      </c>
      <c r="H164" s="31">
        <v>138</v>
      </c>
      <c r="I164" s="38">
        <v>172</v>
      </c>
      <c r="J164" s="38">
        <v>167</v>
      </c>
      <c r="K164" s="23">
        <v>1001</v>
      </c>
    </row>
    <row r="165" spans="1:11" ht="16.5" thickBot="1">
      <c r="A165" s="18">
        <f t="shared" si="2"/>
        <v>160</v>
      </c>
      <c r="B165" s="36" t="s">
        <v>1111</v>
      </c>
      <c r="C165" s="37" t="s">
        <v>1169</v>
      </c>
      <c r="D165" s="37" t="s">
        <v>665</v>
      </c>
      <c r="E165" s="38">
        <v>124</v>
      </c>
      <c r="F165" s="38">
        <v>180</v>
      </c>
      <c r="G165" s="38">
        <v>189</v>
      </c>
      <c r="H165" s="31">
        <v>179</v>
      </c>
      <c r="I165" s="38">
        <v>148</v>
      </c>
      <c r="J165" s="38">
        <v>179</v>
      </c>
      <c r="K165" s="23">
        <v>999</v>
      </c>
    </row>
    <row r="166" spans="1:11" ht="16.5" thickBot="1">
      <c r="A166" s="18">
        <f t="shared" si="2"/>
        <v>161</v>
      </c>
      <c r="B166" s="36" t="s">
        <v>1397</v>
      </c>
      <c r="C166" s="37" t="s">
        <v>1398</v>
      </c>
      <c r="D166" s="37" t="s">
        <v>490</v>
      </c>
      <c r="E166" s="38">
        <v>194</v>
      </c>
      <c r="F166" s="38">
        <v>173</v>
      </c>
      <c r="G166" s="38">
        <v>158</v>
      </c>
      <c r="H166" s="31">
        <v>167</v>
      </c>
      <c r="I166" s="38">
        <v>168</v>
      </c>
      <c r="J166" s="38">
        <v>138</v>
      </c>
      <c r="K166" s="23">
        <v>998</v>
      </c>
    </row>
    <row r="167" spans="1:11" ht="16.5" thickBot="1">
      <c r="A167" s="18">
        <f t="shared" si="2"/>
        <v>162</v>
      </c>
      <c r="B167" s="36" t="s">
        <v>924</v>
      </c>
      <c r="C167" s="37" t="s">
        <v>1090</v>
      </c>
      <c r="D167" s="37" t="s">
        <v>536</v>
      </c>
      <c r="E167" s="38">
        <v>165</v>
      </c>
      <c r="F167" s="38">
        <v>210</v>
      </c>
      <c r="G167" s="38">
        <v>175</v>
      </c>
      <c r="H167" s="31">
        <v>155</v>
      </c>
      <c r="I167" s="38">
        <v>145</v>
      </c>
      <c r="J167" s="38">
        <v>147</v>
      </c>
      <c r="K167" s="23">
        <v>997</v>
      </c>
    </row>
    <row r="168" spans="1:11" ht="16.5" thickBot="1">
      <c r="A168" s="18">
        <f t="shared" si="2"/>
        <v>163</v>
      </c>
      <c r="B168" s="36" t="s">
        <v>1263</v>
      </c>
      <c r="C168" s="37" t="s">
        <v>792</v>
      </c>
      <c r="D168" s="37" t="s">
        <v>703</v>
      </c>
      <c r="E168" s="38">
        <v>153</v>
      </c>
      <c r="F168" s="38">
        <v>204</v>
      </c>
      <c r="G168" s="38">
        <v>138</v>
      </c>
      <c r="H168" s="31">
        <v>169</v>
      </c>
      <c r="I168" s="38">
        <v>141</v>
      </c>
      <c r="J168" s="38">
        <v>192</v>
      </c>
      <c r="K168" s="23">
        <v>997</v>
      </c>
    </row>
    <row r="169" spans="1:11" ht="16.5" thickBot="1">
      <c r="A169" s="18">
        <f t="shared" si="2"/>
        <v>164</v>
      </c>
      <c r="B169" s="36" t="s">
        <v>272</v>
      </c>
      <c r="C169" s="37" t="s">
        <v>1099</v>
      </c>
      <c r="D169" s="37" t="s">
        <v>1098</v>
      </c>
      <c r="E169" s="38">
        <v>156</v>
      </c>
      <c r="F169" s="38">
        <v>125</v>
      </c>
      <c r="G169" s="38">
        <v>159</v>
      </c>
      <c r="H169" s="31">
        <v>182</v>
      </c>
      <c r="I169" s="38">
        <v>172</v>
      </c>
      <c r="J169" s="38">
        <v>198</v>
      </c>
      <c r="K169" s="23">
        <v>992</v>
      </c>
    </row>
    <row r="170" spans="1:11" ht="16.5" thickBot="1">
      <c r="A170" s="18">
        <f t="shared" si="2"/>
        <v>165</v>
      </c>
      <c r="B170" s="36" t="s">
        <v>1262</v>
      </c>
      <c r="C170" s="37" t="s">
        <v>119</v>
      </c>
      <c r="D170" s="37" t="s">
        <v>703</v>
      </c>
      <c r="E170" s="38">
        <v>155</v>
      </c>
      <c r="F170" s="38">
        <v>165</v>
      </c>
      <c r="G170" s="38">
        <v>208</v>
      </c>
      <c r="H170" s="31">
        <v>119</v>
      </c>
      <c r="I170" s="38">
        <v>191</v>
      </c>
      <c r="J170" s="38">
        <v>151</v>
      </c>
      <c r="K170" s="23">
        <v>989</v>
      </c>
    </row>
    <row r="171" spans="1:11" ht="16.5" thickBot="1">
      <c r="A171" s="18">
        <f t="shared" si="2"/>
        <v>166</v>
      </c>
      <c r="B171" s="36" t="s">
        <v>979</v>
      </c>
      <c r="C171" s="37" t="s">
        <v>1520</v>
      </c>
      <c r="D171" s="37" t="s">
        <v>1518</v>
      </c>
      <c r="E171" s="38">
        <v>158</v>
      </c>
      <c r="F171" s="38">
        <v>150</v>
      </c>
      <c r="G171" s="38">
        <v>181</v>
      </c>
      <c r="H171" s="31">
        <v>139</v>
      </c>
      <c r="I171" s="38">
        <v>183</v>
      </c>
      <c r="J171" s="38">
        <v>178</v>
      </c>
      <c r="K171" s="23">
        <v>989</v>
      </c>
    </row>
    <row r="172" spans="1:11" ht="16.5" thickBot="1">
      <c r="A172" s="18">
        <f t="shared" si="2"/>
        <v>167</v>
      </c>
      <c r="B172" s="36" t="s">
        <v>139</v>
      </c>
      <c r="C172" s="37" t="s">
        <v>1440</v>
      </c>
      <c r="D172" s="37" t="s">
        <v>231</v>
      </c>
      <c r="E172" s="38">
        <v>148</v>
      </c>
      <c r="F172" s="38">
        <v>190</v>
      </c>
      <c r="G172" s="38">
        <v>142</v>
      </c>
      <c r="H172" s="31">
        <v>140</v>
      </c>
      <c r="I172" s="38">
        <v>154</v>
      </c>
      <c r="J172" s="38">
        <v>211</v>
      </c>
      <c r="K172" s="23">
        <v>985</v>
      </c>
    </row>
    <row r="173" spans="1:11" ht="16.5" thickBot="1">
      <c r="A173" s="18">
        <f t="shared" si="2"/>
        <v>168</v>
      </c>
      <c r="B173" s="36" t="s">
        <v>1203</v>
      </c>
      <c r="C173" s="37" t="s">
        <v>238</v>
      </c>
      <c r="D173" s="37" t="s">
        <v>772</v>
      </c>
      <c r="E173" s="38">
        <v>155</v>
      </c>
      <c r="F173" s="38">
        <v>169</v>
      </c>
      <c r="G173" s="38">
        <v>147</v>
      </c>
      <c r="H173" s="31">
        <v>170</v>
      </c>
      <c r="I173" s="38">
        <v>181</v>
      </c>
      <c r="J173" s="38">
        <v>163</v>
      </c>
      <c r="K173" s="23">
        <v>985</v>
      </c>
    </row>
    <row r="174" spans="1:11" ht="16.5" thickBot="1">
      <c r="A174" s="18">
        <f t="shared" si="2"/>
        <v>169</v>
      </c>
      <c r="B174" s="36" t="s">
        <v>1172</v>
      </c>
      <c r="C174" s="37" t="s">
        <v>1523</v>
      </c>
      <c r="D174" s="37" t="s">
        <v>1518</v>
      </c>
      <c r="E174" s="38">
        <v>185</v>
      </c>
      <c r="F174" s="38">
        <v>167</v>
      </c>
      <c r="G174" s="38">
        <v>200</v>
      </c>
      <c r="H174" s="31">
        <v>131</v>
      </c>
      <c r="I174" s="38">
        <v>145</v>
      </c>
      <c r="J174" s="38">
        <v>157</v>
      </c>
      <c r="K174" s="23">
        <v>985</v>
      </c>
    </row>
    <row r="175" spans="1:11" ht="16.5" thickBot="1">
      <c r="A175" s="18">
        <f t="shared" si="2"/>
        <v>170</v>
      </c>
      <c r="B175" s="36" t="s">
        <v>1421</v>
      </c>
      <c r="C175" s="37" t="s">
        <v>1422</v>
      </c>
      <c r="D175" s="37" t="s">
        <v>27</v>
      </c>
      <c r="E175" s="38">
        <v>169</v>
      </c>
      <c r="F175" s="38">
        <v>158</v>
      </c>
      <c r="G175" s="38">
        <v>171</v>
      </c>
      <c r="H175" s="31">
        <v>180</v>
      </c>
      <c r="I175" s="38">
        <v>163</v>
      </c>
      <c r="J175" s="38">
        <v>141</v>
      </c>
      <c r="K175" s="23">
        <v>982</v>
      </c>
    </row>
    <row r="176" spans="1:11" ht="16.5" thickBot="1">
      <c r="A176" s="18">
        <f t="shared" si="2"/>
        <v>171</v>
      </c>
      <c r="B176" s="36" t="s">
        <v>1091</v>
      </c>
      <c r="C176" s="37" t="s">
        <v>1092</v>
      </c>
      <c r="D176" s="37" t="s">
        <v>536</v>
      </c>
      <c r="E176" s="38">
        <v>182</v>
      </c>
      <c r="F176" s="38">
        <v>125</v>
      </c>
      <c r="G176" s="38">
        <v>154</v>
      </c>
      <c r="H176" s="31">
        <v>154</v>
      </c>
      <c r="I176" s="38">
        <v>152</v>
      </c>
      <c r="J176" s="38">
        <v>213</v>
      </c>
      <c r="K176" s="23">
        <v>980</v>
      </c>
    </row>
    <row r="177" spans="1:11" ht="16.5" thickBot="1">
      <c r="A177" s="18">
        <f t="shared" si="2"/>
        <v>172</v>
      </c>
      <c r="B177" s="36" t="s">
        <v>1167</v>
      </c>
      <c r="C177" s="37" t="s">
        <v>1168</v>
      </c>
      <c r="D177" s="37" t="s">
        <v>665</v>
      </c>
      <c r="E177" s="38">
        <v>165</v>
      </c>
      <c r="F177" s="38">
        <v>158</v>
      </c>
      <c r="G177" s="38">
        <v>157</v>
      </c>
      <c r="H177" s="31">
        <v>200</v>
      </c>
      <c r="I177" s="38">
        <v>154</v>
      </c>
      <c r="J177" s="38">
        <v>146</v>
      </c>
      <c r="K177" s="23">
        <v>980</v>
      </c>
    </row>
    <row r="178" spans="1:11" ht="16.5" thickBot="1">
      <c r="A178" s="18">
        <f t="shared" si="2"/>
        <v>173</v>
      </c>
      <c r="B178" s="36" t="s">
        <v>1000</v>
      </c>
      <c r="C178" s="37" t="s">
        <v>1519</v>
      </c>
      <c r="D178" s="37" t="s">
        <v>1518</v>
      </c>
      <c r="E178" s="38">
        <v>119</v>
      </c>
      <c r="F178" s="38">
        <v>165</v>
      </c>
      <c r="G178" s="38">
        <v>163</v>
      </c>
      <c r="H178" s="31">
        <v>196</v>
      </c>
      <c r="I178" s="38">
        <v>170</v>
      </c>
      <c r="J178" s="38">
        <v>167</v>
      </c>
      <c r="K178" s="23">
        <v>980</v>
      </c>
    </row>
    <row r="179" spans="1:11" ht="16.5" thickBot="1">
      <c r="A179" s="18">
        <f t="shared" si="2"/>
        <v>174</v>
      </c>
      <c r="B179" s="36" t="s">
        <v>939</v>
      </c>
      <c r="C179" s="37" t="s">
        <v>1390</v>
      </c>
      <c r="D179" s="37" t="s">
        <v>720</v>
      </c>
      <c r="E179" s="38">
        <v>161</v>
      </c>
      <c r="F179" s="38">
        <v>119</v>
      </c>
      <c r="G179" s="38">
        <v>204</v>
      </c>
      <c r="H179" s="31">
        <v>190</v>
      </c>
      <c r="I179" s="38">
        <v>170</v>
      </c>
      <c r="J179" s="38">
        <v>134</v>
      </c>
      <c r="K179" s="23">
        <v>978</v>
      </c>
    </row>
    <row r="180" spans="1:11" ht="16.5" thickBot="1">
      <c r="A180" s="18">
        <f t="shared" si="2"/>
        <v>175</v>
      </c>
      <c r="B180" s="36" t="s">
        <v>1504</v>
      </c>
      <c r="C180" s="37" t="s">
        <v>1505</v>
      </c>
      <c r="D180" s="37" t="s">
        <v>363</v>
      </c>
      <c r="E180" s="38">
        <v>195</v>
      </c>
      <c r="F180" s="38">
        <v>124</v>
      </c>
      <c r="G180" s="38">
        <v>138</v>
      </c>
      <c r="H180" s="31">
        <v>149</v>
      </c>
      <c r="I180" s="38">
        <v>207</v>
      </c>
      <c r="J180" s="38">
        <v>163</v>
      </c>
      <c r="K180" s="23">
        <v>976</v>
      </c>
    </row>
    <row r="181" spans="1:11" ht="16.5" thickBot="1">
      <c r="A181" s="18">
        <f t="shared" si="2"/>
        <v>176</v>
      </c>
      <c r="B181" s="36" t="s">
        <v>984</v>
      </c>
      <c r="C181" s="37" t="s">
        <v>1317</v>
      </c>
      <c r="D181" s="37" t="s">
        <v>1315</v>
      </c>
      <c r="E181" s="38">
        <v>164</v>
      </c>
      <c r="F181" s="38">
        <v>149</v>
      </c>
      <c r="G181" s="38">
        <v>179</v>
      </c>
      <c r="H181" s="31">
        <v>191</v>
      </c>
      <c r="I181" s="38">
        <v>152</v>
      </c>
      <c r="J181" s="38">
        <v>138</v>
      </c>
      <c r="K181" s="23">
        <v>973</v>
      </c>
    </row>
    <row r="182" spans="1:11" ht="16.5" thickBot="1">
      <c r="A182" s="18">
        <f t="shared" si="2"/>
        <v>177</v>
      </c>
      <c r="B182" s="36" t="s">
        <v>1175</v>
      </c>
      <c r="C182" s="37" t="s">
        <v>1202</v>
      </c>
      <c r="D182" s="37" t="s">
        <v>1199</v>
      </c>
      <c r="E182" s="38">
        <v>144</v>
      </c>
      <c r="F182" s="38">
        <v>217</v>
      </c>
      <c r="G182" s="38">
        <v>143</v>
      </c>
      <c r="H182" s="31">
        <v>152</v>
      </c>
      <c r="I182" s="38">
        <v>176</v>
      </c>
      <c r="J182" s="38">
        <v>140</v>
      </c>
      <c r="K182" s="23">
        <v>972</v>
      </c>
    </row>
    <row r="183" spans="1:11" ht="16.5" thickBot="1">
      <c r="A183" s="18">
        <f t="shared" si="2"/>
        <v>178</v>
      </c>
      <c r="B183" s="36" t="s">
        <v>195</v>
      </c>
      <c r="C183" s="37" t="s">
        <v>1449</v>
      </c>
      <c r="D183" s="37" t="s">
        <v>807</v>
      </c>
      <c r="E183" s="38">
        <v>165</v>
      </c>
      <c r="F183" s="38">
        <v>208</v>
      </c>
      <c r="G183" s="38">
        <v>143</v>
      </c>
      <c r="H183" s="31">
        <v>152</v>
      </c>
      <c r="I183" s="38">
        <v>166</v>
      </c>
      <c r="J183" s="38">
        <v>138</v>
      </c>
      <c r="K183" s="23">
        <v>972</v>
      </c>
    </row>
    <row r="184" spans="1:11" ht="16.5" thickBot="1">
      <c r="A184" s="18">
        <f t="shared" si="2"/>
        <v>179</v>
      </c>
      <c r="B184" s="36" t="s">
        <v>897</v>
      </c>
      <c r="C184" s="37" t="s">
        <v>898</v>
      </c>
      <c r="D184" s="37" t="s">
        <v>781</v>
      </c>
      <c r="E184" s="38">
        <v>154</v>
      </c>
      <c r="F184" s="38">
        <v>196</v>
      </c>
      <c r="G184" s="38">
        <v>137</v>
      </c>
      <c r="H184" s="31">
        <v>153</v>
      </c>
      <c r="I184" s="38">
        <v>169</v>
      </c>
      <c r="J184" s="38">
        <v>159</v>
      </c>
      <c r="K184" s="23">
        <v>968</v>
      </c>
    </row>
    <row r="185" spans="1:11" ht="16.5" thickBot="1">
      <c r="A185" s="18">
        <f t="shared" si="2"/>
        <v>180</v>
      </c>
      <c r="B185" s="36" t="s">
        <v>907</v>
      </c>
      <c r="C185" s="37" t="s">
        <v>1095</v>
      </c>
      <c r="D185" s="37" t="s">
        <v>536</v>
      </c>
      <c r="E185" s="38">
        <v>158</v>
      </c>
      <c r="F185" s="38">
        <v>138</v>
      </c>
      <c r="G185" s="38">
        <v>135</v>
      </c>
      <c r="H185" s="31">
        <v>171</v>
      </c>
      <c r="I185" s="38">
        <v>172</v>
      </c>
      <c r="J185" s="38">
        <v>194</v>
      </c>
      <c r="K185" s="23">
        <v>968</v>
      </c>
    </row>
    <row r="186" spans="1:11" ht="16.5" thickBot="1">
      <c r="A186" s="18">
        <f t="shared" si="2"/>
        <v>181</v>
      </c>
      <c r="B186" s="36" t="s">
        <v>1161</v>
      </c>
      <c r="C186" s="37" t="s">
        <v>161</v>
      </c>
      <c r="D186" s="37" t="s">
        <v>750</v>
      </c>
      <c r="E186" s="38">
        <v>169</v>
      </c>
      <c r="F186" s="38">
        <v>164</v>
      </c>
      <c r="G186" s="38">
        <v>124</v>
      </c>
      <c r="H186" s="31">
        <v>157</v>
      </c>
      <c r="I186" s="38">
        <v>160</v>
      </c>
      <c r="J186" s="38">
        <v>194</v>
      </c>
      <c r="K186" s="23">
        <v>968</v>
      </c>
    </row>
    <row r="187" spans="1:11" ht="16.5" thickBot="1">
      <c r="A187" s="18">
        <f t="shared" si="2"/>
        <v>182</v>
      </c>
      <c r="B187" s="36" t="s">
        <v>1260</v>
      </c>
      <c r="C187" s="37" t="s">
        <v>1261</v>
      </c>
      <c r="D187" s="37" t="s">
        <v>703</v>
      </c>
      <c r="E187" s="38">
        <v>149</v>
      </c>
      <c r="F187" s="38">
        <v>122</v>
      </c>
      <c r="G187" s="38">
        <v>181</v>
      </c>
      <c r="H187" s="31">
        <v>145</v>
      </c>
      <c r="I187" s="38">
        <v>196</v>
      </c>
      <c r="J187" s="38">
        <v>174</v>
      </c>
      <c r="K187" s="23">
        <v>967</v>
      </c>
    </row>
    <row r="188" spans="1:11" ht="16.5" thickBot="1">
      <c r="A188" s="18">
        <f t="shared" si="2"/>
        <v>183</v>
      </c>
      <c r="B188" s="36" t="s">
        <v>1352</v>
      </c>
      <c r="C188" s="37" t="s">
        <v>1353</v>
      </c>
      <c r="D188" s="37" t="s">
        <v>44</v>
      </c>
      <c r="E188" s="38">
        <v>155</v>
      </c>
      <c r="F188" s="38">
        <v>173</v>
      </c>
      <c r="G188" s="38">
        <v>143</v>
      </c>
      <c r="H188" s="31">
        <v>174</v>
      </c>
      <c r="I188" s="38">
        <v>159</v>
      </c>
      <c r="J188" s="38">
        <v>163</v>
      </c>
      <c r="K188" s="23">
        <v>967</v>
      </c>
    </row>
    <row r="189" spans="1:11" ht="16.5" thickBot="1">
      <c r="A189" s="18">
        <f t="shared" si="2"/>
        <v>184</v>
      </c>
      <c r="B189" s="36" t="s">
        <v>933</v>
      </c>
      <c r="C189" s="37" t="s">
        <v>934</v>
      </c>
      <c r="D189" s="37" t="s">
        <v>932</v>
      </c>
      <c r="E189" s="38">
        <v>168</v>
      </c>
      <c r="F189" s="38">
        <v>145</v>
      </c>
      <c r="G189" s="38">
        <v>174</v>
      </c>
      <c r="H189" s="31">
        <v>226</v>
      </c>
      <c r="I189" s="38">
        <v>123</v>
      </c>
      <c r="J189" s="38">
        <v>129</v>
      </c>
      <c r="K189" s="23">
        <v>965</v>
      </c>
    </row>
    <row r="190" spans="1:11" ht="16.5" thickBot="1">
      <c r="A190" s="18">
        <f t="shared" si="2"/>
        <v>185</v>
      </c>
      <c r="B190" s="36" t="s">
        <v>1482</v>
      </c>
      <c r="C190" s="37" t="s">
        <v>527</v>
      </c>
      <c r="D190" s="37" t="s">
        <v>575</v>
      </c>
      <c r="E190" s="38"/>
      <c r="F190" s="38">
        <v>205</v>
      </c>
      <c r="G190" s="38">
        <v>192</v>
      </c>
      <c r="H190" s="31">
        <v>190</v>
      </c>
      <c r="I190" s="38">
        <v>188</v>
      </c>
      <c r="J190" s="38">
        <v>186</v>
      </c>
      <c r="K190" s="23">
        <v>961</v>
      </c>
    </row>
    <row r="191" spans="1:11" ht="16.5" thickBot="1">
      <c r="A191" s="18">
        <f t="shared" si="2"/>
        <v>186</v>
      </c>
      <c r="B191" s="36" t="s">
        <v>88</v>
      </c>
      <c r="C191" s="37" t="s">
        <v>1224</v>
      </c>
      <c r="D191" s="37" t="s">
        <v>452</v>
      </c>
      <c r="E191" s="38">
        <v>166</v>
      </c>
      <c r="F191" s="38"/>
      <c r="G191" s="38">
        <v>173</v>
      </c>
      <c r="H191" s="31">
        <v>235</v>
      </c>
      <c r="I191" s="38">
        <v>248</v>
      </c>
      <c r="J191" s="38">
        <v>137</v>
      </c>
      <c r="K191" s="23">
        <v>959</v>
      </c>
    </row>
    <row r="192" spans="1:11" ht="16.5" thickBot="1">
      <c r="A192" s="18">
        <f t="shared" si="2"/>
        <v>187</v>
      </c>
      <c r="B192" s="36" t="s">
        <v>1113</v>
      </c>
      <c r="C192" s="37" t="s">
        <v>1114</v>
      </c>
      <c r="D192" s="37" t="s">
        <v>636</v>
      </c>
      <c r="E192" s="38">
        <v>212</v>
      </c>
      <c r="F192" s="38">
        <v>167</v>
      </c>
      <c r="G192" s="38">
        <v>148</v>
      </c>
      <c r="H192" s="31">
        <v>134</v>
      </c>
      <c r="I192" s="38">
        <v>145</v>
      </c>
      <c r="J192" s="38">
        <v>151</v>
      </c>
      <c r="K192" s="23">
        <v>957</v>
      </c>
    </row>
    <row r="193" spans="1:11" ht="16.5" thickBot="1">
      <c r="A193" s="18">
        <f t="shared" si="2"/>
        <v>188</v>
      </c>
      <c r="B193" s="36" t="s">
        <v>982</v>
      </c>
      <c r="C193" s="37" t="s">
        <v>1355</v>
      </c>
      <c r="D193" s="37" t="s">
        <v>44</v>
      </c>
      <c r="E193" s="38">
        <v>168</v>
      </c>
      <c r="F193" s="38">
        <v>152</v>
      </c>
      <c r="G193" s="38">
        <v>198</v>
      </c>
      <c r="H193" s="31">
        <v>137</v>
      </c>
      <c r="I193" s="38">
        <v>171</v>
      </c>
      <c r="J193" s="38">
        <v>128</v>
      </c>
      <c r="K193" s="23">
        <v>954</v>
      </c>
    </row>
    <row r="194" spans="1:11" ht="16.5" thickBot="1">
      <c r="A194" s="18">
        <f t="shared" si="2"/>
        <v>189</v>
      </c>
      <c r="B194" s="36" t="s">
        <v>914</v>
      </c>
      <c r="C194" s="37" t="s">
        <v>1377</v>
      </c>
      <c r="D194" s="37" t="s">
        <v>84</v>
      </c>
      <c r="E194" s="38">
        <v>159</v>
      </c>
      <c r="F194" s="38">
        <v>210</v>
      </c>
      <c r="G194" s="38">
        <v>130</v>
      </c>
      <c r="H194" s="31">
        <v>134</v>
      </c>
      <c r="I194" s="38">
        <v>142</v>
      </c>
      <c r="J194" s="38">
        <v>172</v>
      </c>
      <c r="K194" s="23">
        <v>947</v>
      </c>
    </row>
    <row r="195" spans="1:11" ht="16.5" thickBot="1">
      <c r="A195" s="18">
        <f t="shared" si="2"/>
        <v>190</v>
      </c>
      <c r="B195" s="36" t="s">
        <v>1103</v>
      </c>
      <c r="C195" s="37" t="s">
        <v>1499</v>
      </c>
      <c r="D195" s="37" t="s">
        <v>713</v>
      </c>
      <c r="E195" s="38"/>
      <c r="F195" s="38">
        <v>190</v>
      </c>
      <c r="G195" s="38">
        <v>186</v>
      </c>
      <c r="H195" s="31">
        <v>169</v>
      </c>
      <c r="I195" s="38">
        <v>165</v>
      </c>
      <c r="J195" s="38">
        <v>237</v>
      </c>
      <c r="K195" s="23">
        <v>947</v>
      </c>
    </row>
    <row r="196" spans="1:11" ht="16.5" thickBot="1">
      <c r="A196" s="18">
        <f t="shared" si="2"/>
        <v>191</v>
      </c>
      <c r="B196" s="36" t="s">
        <v>1132</v>
      </c>
      <c r="C196" s="37" t="s">
        <v>348</v>
      </c>
      <c r="D196" s="37" t="s">
        <v>318</v>
      </c>
      <c r="E196" s="38">
        <v>129</v>
      </c>
      <c r="F196" s="38">
        <v>190</v>
      </c>
      <c r="G196" s="38">
        <v>167</v>
      </c>
      <c r="H196" s="31">
        <v>176</v>
      </c>
      <c r="I196" s="38">
        <v>135</v>
      </c>
      <c r="J196" s="38">
        <v>148</v>
      </c>
      <c r="K196" s="23">
        <v>945</v>
      </c>
    </row>
    <row r="197" spans="1:11" ht="16.5" thickBot="1">
      <c r="A197" s="18">
        <f t="shared" si="2"/>
        <v>192</v>
      </c>
      <c r="B197" s="36" t="s">
        <v>1425</v>
      </c>
      <c r="C197" s="37" t="s">
        <v>1426</v>
      </c>
      <c r="D197" s="37" t="s">
        <v>27</v>
      </c>
      <c r="E197" s="38">
        <v>162</v>
      </c>
      <c r="F197" s="38">
        <v>196</v>
      </c>
      <c r="G197" s="38">
        <v>154</v>
      </c>
      <c r="H197" s="31">
        <v>122</v>
      </c>
      <c r="I197" s="38">
        <v>152</v>
      </c>
      <c r="J197" s="38">
        <v>159</v>
      </c>
      <c r="K197" s="23">
        <v>945</v>
      </c>
    </row>
    <row r="198" spans="1:11" ht="16.5" thickBot="1">
      <c r="A198" s="18">
        <f t="shared" si="2"/>
        <v>193</v>
      </c>
      <c r="B198" s="36" t="s">
        <v>1172</v>
      </c>
      <c r="C198" s="37" t="s">
        <v>1350</v>
      </c>
      <c r="D198" s="37" t="s">
        <v>318</v>
      </c>
      <c r="E198" s="38">
        <v>143</v>
      </c>
      <c r="F198" s="38">
        <v>174</v>
      </c>
      <c r="G198" s="38">
        <v>135</v>
      </c>
      <c r="H198" s="31">
        <v>163</v>
      </c>
      <c r="I198" s="38">
        <v>199</v>
      </c>
      <c r="J198" s="38">
        <v>128</v>
      </c>
      <c r="K198" s="23">
        <v>942</v>
      </c>
    </row>
    <row r="199" spans="1:11" ht="16.5" thickBot="1">
      <c r="A199" s="18">
        <f t="shared" si="2"/>
        <v>194</v>
      </c>
      <c r="B199" s="36" t="s">
        <v>974</v>
      </c>
      <c r="C199" s="37" t="s">
        <v>1412</v>
      </c>
      <c r="D199" s="37" t="s">
        <v>154</v>
      </c>
      <c r="E199" s="38">
        <v>133</v>
      </c>
      <c r="F199" s="38"/>
      <c r="G199" s="38">
        <v>242</v>
      </c>
      <c r="H199" s="31">
        <v>209</v>
      </c>
      <c r="I199" s="38">
        <v>168</v>
      </c>
      <c r="J199" s="38">
        <v>189</v>
      </c>
      <c r="K199" s="23">
        <v>941</v>
      </c>
    </row>
    <row r="200" spans="1:11" ht="16.5" thickBot="1">
      <c r="A200" s="18">
        <f t="shared" ref="A200:A263" si="3">A199+1</f>
        <v>195</v>
      </c>
      <c r="B200" s="36" t="s">
        <v>1497</v>
      </c>
      <c r="C200" s="37" t="s">
        <v>1508</v>
      </c>
      <c r="D200" s="37" t="s">
        <v>363</v>
      </c>
      <c r="E200" s="38">
        <v>151</v>
      </c>
      <c r="F200" s="38">
        <v>163</v>
      </c>
      <c r="G200" s="38">
        <v>177</v>
      </c>
      <c r="H200" s="31">
        <v>149</v>
      </c>
      <c r="I200" s="38">
        <v>158</v>
      </c>
      <c r="J200" s="38">
        <v>143</v>
      </c>
      <c r="K200" s="23">
        <v>941</v>
      </c>
    </row>
    <row r="201" spans="1:11" ht="16.5" thickBot="1">
      <c r="A201" s="18">
        <f t="shared" si="3"/>
        <v>196</v>
      </c>
      <c r="B201" s="36" t="s">
        <v>939</v>
      </c>
      <c r="C201" s="37" t="s">
        <v>372</v>
      </c>
      <c r="D201" s="37" t="s">
        <v>84</v>
      </c>
      <c r="E201" s="38">
        <v>209</v>
      </c>
      <c r="F201" s="38">
        <v>156</v>
      </c>
      <c r="G201" s="38">
        <v>154</v>
      </c>
      <c r="H201" s="31">
        <v>124</v>
      </c>
      <c r="I201" s="38">
        <v>160</v>
      </c>
      <c r="J201" s="38">
        <v>136</v>
      </c>
      <c r="K201" s="23">
        <v>939</v>
      </c>
    </row>
    <row r="202" spans="1:11" ht="16.5" thickBot="1">
      <c r="A202" s="18">
        <f t="shared" si="3"/>
        <v>197</v>
      </c>
      <c r="B202" s="36" t="s">
        <v>1407</v>
      </c>
      <c r="C202" s="37" t="s">
        <v>1023</v>
      </c>
      <c r="D202" s="37" t="s">
        <v>154</v>
      </c>
      <c r="E202" s="38">
        <v>182</v>
      </c>
      <c r="F202" s="38">
        <v>151</v>
      </c>
      <c r="G202" s="38">
        <v>142</v>
      </c>
      <c r="H202" s="31">
        <v>145</v>
      </c>
      <c r="I202" s="38">
        <v>171</v>
      </c>
      <c r="J202" s="38">
        <v>148</v>
      </c>
      <c r="K202" s="23">
        <v>939</v>
      </c>
    </row>
    <row r="203" spans="1:11" ht="16.5" thickBot="1">
      <c r="A203" s="18">
        <f t="shared" si="3"/>
        <v>198</v>
      </c>
      <c r="B203" s="36" t="s">
        <v>272</v>
      </c>
      <c r="C203" s="37" t="s">
        <v>965</v>
      </c>
      <c r="D203" s="37" t="s">
        <v>167</v>
      </c>
      <c r="E203" s="38">
        <v>182</v>
      </c>
      <c r="F203" s="38">
        <v>203</v>
      </c>
      <c r="G203" s="38">
        <v>179</v>
      </c>
      <c r="H203" s="31">
        <v>214</v>
      </c>
      <c r="I203" s="38">
        <v>158</v>
      </c>
      <c r="J203" s="38"/>
      <c r="K203" s="23">
        <v>936</v>
      </c>
    </row>
    <row r="204" spans="1:11" ht="16.5" thickBot="1">
      <c r="A204" s="18">
        <f t="shared" si="3"/>
        <v>199</v>
      </c>
      <c r="B204" s="36" t="s">
        <v>1068</v>
      </c>
      <c r="C204" s="37" t="s">
        <v>1069</v>
      </c>
      <c r="D204" s="37" t="s">
        <v>827</v>
      </c>
      <c r="E204" s="38">
        <v>199</v>
      </c>
      <c r="F204" s="38">
        <v>181</v>
      </c>
      <c r="G204" s="38">
        <v>211</v>
      </c>
      <c r="H204" s="31"/>
      <c r="I204" s="38">
        <v>160</v>
      </c>
      <c r="J204" s="38">
        <v>185</v>
      </c>
      <c r="K204" s="23">
        <v>936</v>
      </c>
    </row>
    <row r="205" spans="1:11" ht="16.5" thickBot="1">
      <c r="A205" s="18">
        <f t="shared" si="3"/>
        <v>200</v>
      </c>
      <c r="B205" s="36" t="s">
        <v>1063</v>
      </c>
      <c r="C205" s="37" t="s">
        <v>1372</v>
      </c>
      <c r="D205" s="37" t="s">
        <v>84</v>
      </c>
      <c r="E205" s="38">
        <v>177</v>
      </c>
      <c r="F205" s="38">
        <v>188</v>
      </c>
      <c r="G205" s="38">
        <v>139</v>
      </c>
      <c r="H205" s="31">
        <v>129</v>
      </c>
      <c r="I205" s="38">
        <v>166</v>
      </c>
      <c r="J205" s="38">
        <v>135</v>
      </c>
      <c r="K205" s="23">
        <v>934</v>
      </c>
    </row>
    <row r="206" spans="1:11" ht="16.5" thickBot="1">
      <c r="A206" s="18">
        <f t="shared" si="3"/>
        <v>201</v>
      </c>
      <c r="B206" s="36" t="s">
        <v>1043</v>
      </c>
      <c r="C206" s="37" t="s">
        <v>1044</v>
      </c>
      <c r="D206" s="37" t="s">
        <v>205</v>
      </c>
      <c r="E206" s="38">
        <v>212</v>
      </c>
      <c r="F206" s="38">
        <v>187</v>
      </c>
      <c r="G206" s="38">
        <v>192</v>
      </c>
      <c r="H206" s="31">
        <v>185</v>
      </c>
      <c r="I206" s="38">
        <v>157</v>
      </c>
      <c r="J206" s="38"/>
      <c r="K206" s="23">
        <v>933</v>
      </c>
    </row>
    <row r="207" spans="1:11" ht="16.5" thickBot="1">
      <c r="A207" s="18">
        <f t="shared" si="3"/>
        <v>202</v>
      </c>
      <c r="B207" s="36" t="s">
        <v>1257</v>
      </c>
      <c r="C207" s="37" t="s">
        <v>1258</v>
      </c>
      <c r="D207" s="37" t="s">
        <v>113</v>
      </c>
      <c r="E207" s="38">
        <v>125</v>
      </c>
      <c r="F207" s="38">
        <v>164</v>
      </c>
      <c r="G207" s="38">
        <v>173</v>
      </c>
      <c r="H207" s="31">
        <v>162</v>
      </c>
      <c r="I207" s="38">
        <v>145</v>
      </c>
      <c r="J207" s="38">
        <v>161</v>
      </c>
      <c r="K207" s="23">
        <v>930</v>
      </c>
    </row>
    <row r="208" spans="1:11" ht="16.5" thickBot="1">
      <c r="A208" s="18">
        <f t="shared" si="3"/>
        <v>203</v>
      </c>
      <c r="B208" s="36" t="s">
        <v>939</v>
      </c>
      <c r="C208" s="37" t="s">
        <v>940</v>
      </c>
      <c r="D208" s="37" t="s">
        <v>932</v>
      </c>
      <c r="E208" s="38">
        <v>149</v>
      </c>
      <c r="F208" s="38">
        <v>139</v>
      </c>
      <c r="G208" s="38">
        <v>172</v>
      </c>
      <c r="H208" s="31">
        <v>143</v>
      </c>
      <c r="I208" s="38">
        <v>154</v>
      </c>
      <c r="J208" s="38">
        <v>172</v>
      </c>
      <c r="K208" s="23">
        <v>929</v>
      </c>
    </row>
    <row r="209" spans="1:11" ht="16.5" thickBot="1">
      <c r="A209" s="18">
        <f t="shared" si="3"/>
        <v>204</v>
      </c>
      <c r="B209" s="36" t="s">
        <v>400</v>
      </c>
      <c r="C209" s="37" t="s">
        <v>947</v>
      </c>
      <c r="D209" s="37" t="s">
        <v>942</v>
      </c>
      <c r="E209" s="38">
        <v>132</v>
      </c>
      <c r="F209" s="38"/>
      <c r="G209" s="38">
        <v>192</v>
      </c>
      <c r="H209" s="31">
        <v>203</v>
      </c>
      <c r="I209" s="38">
        <v>213</v>
      </c>
      <c r="J209" s="38">
        <v>187</v>
      </c>
      <c r="K209" s="23">
        <v>927</v>
      </c>
    </row>
    <row r="210" spans="1:11" ht="16.5" thickBot="1">
      <c r="A210" s="18">
        <f t="shared" si="3"/>
        <v>205</v>
      </c>
      <c r="B210" s="36" t="s">
        <v>924</v>
      </c>
      <c r="C210" s="37" t="s">
        <v>935</v>
      </c>
      <c r="D210" s="37" t="s">
        <v>932</v>
      </c>
      <c r="E210" s="38">
        <v>170</v>
      </c>
      <c r="F210" s="38">
        <v>137</v>
      </c>
      <c r="G210" s="38">
        <v>124</v>
      </c>
      <c r="H210" s="31">
        <v>171</v>
      </c>
      <c r="I210" s="38">
        <v>156</v>
      </c>
      <c r="J210" s="38">
        <v>167</v>
      </c>
      <c r="K210" s="23">
        <v>925</v>
      </c>
    </row>
    <row r="211" spans="1:11" ht="16.5" thickBot="1">
      <c r="A211" s="18">
        <f t="shared" si="3"/>
        <v>206</v>
      </c>
      <c r="B211" s="36" t="s">
        <v>1103</v>
      </c>
      <c r="C211" s="37" t="s">
        <v>1104</v>
      </c>
      <c r="D211" s="37" t="s">
        <v>1098</v>
      </c>
      <c r="E211" s="38">
        <v>128</v>
      </c>
      <c r="F211" s="38">
        <v>160</v>
      </c>
      <c r="G211" s="38">
        <v>194</v>
      </c>
      <c r="H211" s="31">
        <v>125</v>
      </c>
      <c r="I211" s="38">
        <v>158</v>
      </c>
      <c r="J211" s="38">
        <v>159</v>
      </c>
      <c r="K211" s="23">
        <v>924</v>
      </c>
    </row>
    <row r="212" spans="1:11" ht="16.5" thickBot="1">
      <c r="A212" s="18">
        <f t="shared" si="3"/>
        <v>207</v>
      </c>
      <c r="B212" s="36" t="s">
        <v>1221</v>
      </c>
      <c r="C212" s="37" t="s">
        <v>1222</v>
      </c>
      <c r="D212" s="37" t="s">
        <v>452</v>
      </c>
      <c r="E212" s="38">
        <v>204</v>
      </c>
      <c r="F212" s="38">
        <v>149</v>
      </c>
      <c r="G212" s="38"/>
      <c r="H212" s="31">
        <v>198</v>
      </c>
      <c r="I212" s="38">
        <v>194</v>
      </c>
      <c r="J212" s="38">
        <v>177</v>
      </c>
      <c r="K212" s="23">
        <v>922</v>
      </c>
    </row>
    <row r="213" spans="1:11" ht="16.5" thickBot="1">
      <c r="A213" s="18">
        <f t="shared" si="3"/>
        <v>208</v>
      </c>
      <c r="B213" s="36" t="s">
        <v>272</v>
      </c>
      <c r="C213" s="37" t="s">
        <v>1525</v>
      </c>
      <c r="D213" s="37" t="s">
        <v>413</v>
      </c>
      <c r="E213" s="38">
        <v>226</v>
      </c>
      <c r="F213" s="38">
        <v>179</v>
      </c>
      <c r="G213" s="38">
        <v>158</v>
      </c>
      <c r="H213" s="31"/>
      <c r="I213" s="38">
        <v>180</v>
      </c>
      <c r="J213" s="38">
        <v>173</v>
      </c>
      <c r="K213" s="23">
        <v>916</v>
      </c>
    </row>
    <row r="214" spans="1:11" ht="16.5" thickBot="1">
      <c r="A214" s="18">
        <f t="shared" si="3"/>
        <v>209</v>
      </c>
      <c r="B214" s="36" t="s">
        <v>1070</v>
      </c>
      <c r="C214" s="37" t="s">
        <v>1313</v>
      </c>
      <c r="D214" s="37" t="s">
        <v>1306</v>
      </c>
      <c r="E214" s="38"/>
      <c r="F214" s="38">
        <v>189</v>
      </c>
      <c r="G214" s="38">
        <v>177</v>
      </c>
      <c r="H214" s="31">
        <v>160</v>
      </c>
      <c r="I214" s="38">
        <v>180</v>
      </c>
      <c r="J214" s="38">
        <v>208</v>
      </c>
      <c r="K214" s="23">
        <v>914</v>
      </c>
    </row>
    <row r="215" spans="1:11" ht="16.5" thickBot="1">
      <c r="A215" s="18">
        <f t="shared" si="3"/>
        <v>210</v>
      </c>
      <c r="B215" s="36" t="s">
        <v>1038</v>
      </c>
      <c r="C215" s="37" t="s">
        <v>1396</v>
      </c>
      <c r="D215" s="37" t="s">
        <v>490</v>
      </c>
      <c r="E215" s="38"/>
      <c r="F215" s="38">
        <v>178</v>
      </c>
      <c r="G215" s="38">
        <v>186</v>
      </c>
      <c r="H215" s="31">
        <v>197</v>
      </c>
      <c r="I215" s="38">
        <v>177</v>
      </c>
      <c r="J215" s="38">
        <v>170</v>
      </c>
      <c r="K215" s="23">
        <v>908</v>
      </c>
    </row>
    <row r="216" spans="1:11" ht="16.5" thickBot="1">
      <c r="A216" s="18">
        <f t="shared" si="3"/>
        <v>211</v>
      </c>
      <c r="B216" s="36" t="s">
        <v>1443</v>
      </c>
      <c r="C216" s="37" t="s">
        <v>1444</v>
      </c>
      <c r="D216" s="37" t="s">
        <v>772</v>
      </c>
      <c r="E216" s="38">
        <v>135</v>
      </c>
      <c r="F216" s="38">
        <v>136</v>
      </c>
      <c r="G216" s="38">
        <v>180</v>
      </c>
      <c r="H216" s="31">
        <v>169</v>
      </c>
      <c r="I216" s="38">
        <v>147</v>
      </c>
      <c r="J216" s="38">
        <v>141</v>
      </c>
      <c r="K216" s="23">
        <v>908</v>
      </c>
    </row>
    <row r="217" spans="1:11" ht="16.5" thickBot="1">
      <c r="A217" s="18">
        <f t="shared" si="3"/>
        <v>212</v>
      </c>
      <c r="B217" s="36" t="s">
        <v>1291</v>
      </c>
      <c r="C217" s="37" t="s">
        <v>1292</v>
      </c>
      <c r="D217" s="37" t="s">
        <v>1289</v>
      </c>
      <c r="E217" s="38">
        <v>111</v>
      </c>
      <c r="F217" s="38">
        <v>144</v>
      </c>
      <c r="G217" s="38">
        <v>171</v>
      </c>
      <c r="H217" s="31">
        <v>150</v>
      </c>
      <c r="I217" s="38">
        <v>159</v>
      </c>
      <c r="J217" s="38">
        <v>169</v>
      </c>
      <c r="K217" s="23">
        <v>904</v>
      </c>
    </row>
    <row r="218" spans="1:11" ht="16.5" thickBot="1">
      <c r="A218" s="18">
        <f t="shared" si="3"/>
        <v>213</v>
      </c>
      <c r="B218" s="36" t="s">
        <v>945</v>
      </c>
      <c r="C218" s="37" t="s">
        <v>894</v>
      </c>
      <c r="D218" s="37" t="s">
        <v>1534</v>
      </c>
      <c r="E218" s="38">
        <v>120</v>
      </c>
      <c r="F218" s="38">
        <v>158</v>
      </c>
      <c r="G218" s="38">
        <v>159</v>
      </c>
      <c r="H218" s="31">
        <v>134</v>
      </c>
      <c r="I218" s="38">
        <v>178</v>
      </c>
      <c r="J218" s="38">
        <v>150</v>
      </c>
      <c r="K218" s="23">
        <v>899</v>
      </c>
    </row>
    <row r="219" spans="1:11" ht="16.5" thickBot="1">
      <c r="A219" s="18">
        <f t="shared" si="3"/>
        <v>214</v>
      </c>
      <c r="B219" s="36" t="s">
        <v>949</v>
      </c>
      <c r="C219" s="37" t="s">
        <v>1136</v>
      </c>
      <c r="D219" s="37" t="s">
        <v>790</v>
      </c>
      <c r="E219" s="38">
        <v>200</v>
      </c>
      <c r="F219" s="38">
        <v>168</v>
      </c>
      <c r="G219" s="38">
        <v>175</v>
      </c>
      <c r="H219" s="31"/>
      <c r="I219" s="38">
        <v>180</v>
      </c>
      <c r="J219" s="38">
        <v>175</v>
      </c>
      <c r="K219" s="23">
        <v>898</v>
      </c>
    </row>
    <row r="220" spans="1:11" ht="16.5" thickBot="1">
      <c r="A220" s="18">
        <f t="shared" si="3"/>
        <v>215</v>
      </c>
      <c r="B220" s="36" t="s">
        <v>1536</v>
      </c>
      <c r="C220" s="37" t="s">
        <v>1537</v>
      </c>
      <c r="D220" s="37" t="s">
        <v>1534</v>
      </c>
      <c r="E220" s="38">
        <v>138</v>
      </c>
      <c r="F220" s="38">
        <v>146</v>
      </c>
      <c r="G220" s="38">
        <v>182</v>
      </c>
      <c r="H220" s="31">
        <v>146</v>
      </c>
      <c r="I220" s="38">
        <v>128</v>
      </c>
      <c r="J220" s="38">
        <v>156</v>
      </c>
      <c r="K220" s="23">
        <v>896</v>
      </c>
    </row>
    <row r="221" spans="1:11" ht="16.5" thickBot="1">
      <c r="A221" s="18">
        <f t="shared" si="3"/>
        <v>216</v>
      </c>
      <c r="B221" s="36" t="s">
        <v>1084</v>
      </c>
      <c r="C221" s="37" t="s">
        <v>1220</v>
      </c>
      <c r="D221" s="37" t="s">
        <v>452</v>
      </c>
      <c r="E221" s="38">
        <v>172</v>
      </c>
      <c r="F221" s="38"/>
      <c r="G221" s="38">
        <v>192</v>
      </c>
      <c r="H221" s="31">
        <v>164</v>
      </c>
      <c r="I221" s="38">
        <v>193</v>
      </c>
      <c r="J221" s="38">
        <v>171</v>
      </c>
      <c r="K221" s="23">
        <v>892</v>
      </c>
    </row>
    <row r="222" spans="1:11" ht="16.5" thickBot="1">
      <c r="A222" s="18">
        <f t="shared" si="3"/>
        <v>217</v>
      </c>
      <c r="B222" s="36" t="s">
        <v>1522</v>
      </c>
      <c r="C222" s="37" t="s">
        <v>482</v>
      </c>
      <c r="D222" s="37" t="s">
        <v>1518</v>
      </c>
      <c r="E222" s="38">
        <v>143</v>
      </c>
      <c r="F222" s="38">
        <v>155</v>
      </c>
      <c r="G222" s="38">
        <v>157</v>
      </c>
      <c r="H222" s="31">
        <v>188</v>
      </c>
      <c r="I222" s="38">
        <v>133</v>
      </c>
      <c r="J222" s="38">
        <v>116</v>
      </c>
      <c r="K222" s="23">
        <v>892</v>
      </c>
    </row>
    <row r="223" spans="1:11" ht="16.5" thickBot="1">
      <c r="A223" s="18">
        <f t="shared" si="3"/>
        <v>218</v>
      </c>
      <c r="B223" s="36" t="s">
        <v>1048</v>
      </c>
      <c r="C223" s="37" t="s">
        <v>1049</v>
      </c>
      <c r="D223" s="37" t="s">
        <v>205</v>
      </c>
      <c r="E223" s="38">
        <v>172</v>
      </c>
      <c r="F223" s="38">
        <v>155</v>
      </c>
      <c r="G223" s="38">
        <v>182</v>
      </c>
      <c r="H223" s="31">
        <v>182</v>
      </c>
      <c r="I223" s="38"/>
      <c r="J223" s="38">
        <v>199</v>
      </c>
      <c r="K223" s="23">
        <v>890</v>
      </c>
    </row>
    <row r="224" spans="1:11" ht="16.5" thickBot="1">
      <c r="A224" s="18">
        <f t="shared" si="3"/>
        <v>219</v>
      </c>
      <c r="B224" s="36" t="s">
        <v>394</v>
      </c>
      <c r="C224" s="37" t="s">
        <v>156</v>
      </c>
      <c r="D224" s="37" t="s">
        <v>154</v>
      </c>
      <c r="E224" s="38"/>
      <c r="F224" s="38">
        <v>212</v>
      </c>
      <c r="G224" s="38">
        <v>173</v>
      </c>
      <c r="H224" s="31">
        <v>169</v>
      </c>
      <c r="I224" s="38">
        <v>181</v>
      </c>
      <c r="J224" s="38">
        <v>154</v>
      </c>
      <c r="K224" s="23">
        <v>889</v>
      </c>
    </row>
    <row r="225" spans="1:11" ht="16.5" thickBot="1">
      <c r="A225" s="18">
        <f t="shared" si="3"/>
        <v>220</v>
      </c>
      <c r="B225" s="36" t="s">
        <v>1124</v>
      </c>
      <c r="C225" s="37" t="s">
        <v>1125</v>
      </c>
      <c r="D225" s="37" t="s">
        <v>304</v>
      </c>
      <c r="E225" s="38"/>
      <c r="F225" s="38">
        <v>173</v>
      </c>
      <c r="G225" s="38">
        <v>173</v>
      </c>
      <c r="H225" s="31">
        <v>194</v>
      </c>
      <c r="I225" s="38">
        <v>190</v>
      </c>
      <c r="J225" s="38">
        <v>157</v>
      </c>
      <c r="K225" s="23">
        <v>887</v>
      </c>
    </row>
    <row r="226" spans="1:11" ht="16.5" thickBot="1">
      <c r="A226" s="18">
        <f t="shared" si="3"/>
        <v>221</v>
      </c>
      <c r="B226" s="36" t="s">
        <v>1324</v>
      </c>
      <c r="C226" s="37" t="s">
        <v>1363</v>
      </c>
      <c r="D226" s="37" t="s">
        <v>1359</v>
      </c>
      <c r="E226" s="38">
        <v>170</v>
      </c>
      <c r="F226" s="38">
        <v>213</v>
      </c>
      <c r="G226" s="38">
        <v>180</v>
      </c>
      <c r="H226" s="31">
        <v>190</v>
      </c>
      <c r="I226" s="38">
        <v>128</v>
      </c>
      <c r="J226" s="38"/>
      <c r="K226" s="23">
        <v>881</v>
      </c>
    </row>
    <row r="227" spans="1:11" ht="16.5" thickBot="1">
      <c r="A227" s="18">
        <f t="shared" si="3"/>
        <v>222</v>
      </c>
      <c r="B227" s="36" t="s">
        <v>945</v>
      </c>
      <c r="C227" s="37" t="s">
        <v>1531</v>
      </c>
      <c r="D227" s="37" t="s">
        <v>413</v>
      </c>
      <c r="E227" s="38">
        <v>192</v>
      </c>
      <c r="F227" s="38">
        <v>183</v>
      </c>
      <c r="G227" s="38">
        <v>161</v>
      </c>
      <c r="H227" s="31"/>
      <c r="I227" s="38">
        <v>188</v>
      </c>
      <c r="J227" s="38">
        <v>155</v>
      </c>
      <c r="K227" s="23">
        <v>879</v>
      </c>
    </row>
    <row r="228" spans="1:11" ht="16.5" thickBot="1">
      <c r="A228" s="18">
        <f t="shared" si="3"/>
        <v>223</v>
      </c>
      <c r="B228" s="36" t="s">
        <v>1058</v>
      </c>
      <c r="C228" s="37" t="s">
        <v>1059</v>
      </c>
      <c r="D228" s="37" t="s">
        <v>547</v>
      </c>
      <c r="E228" s="38">
        <v>140</v>
      </c>
      <c r="F228" s="38">
        <v>201</v>
      </c>
      <c r="G228" s="38">
        <v>226</v>
      </c>
      <c r="H228" s="31">
        <v>160</v>
      </c>
      <c r="I228" s="38">
        <v>150</v>
      </c>
      <c r="J228" s="38"/>
      <c r="K228" s="23">
        <v>877</v>
      </c>
    </row>
    <row r="229" spans="1:11" ht="16.5" thickBot="1">
      <c r="A229" s="18">
        <f t="shared" si="3"/>
        <v>224</v>
      </c>
      <c r="B229" s="36" t="s">
        <v>1000</v>
      </c>
      <c r="C229" s="37" t="s">
        <v>1317</v>
      </c>
      <c r="D229" s="37" t="s">
        <v>1315</v>
      </c>
      <c r="E229" s="38">
        <v>148</v>
      </c>
      <c r="F229" s="38">
        <v>147</v>
      </c>
      <c r="G229" s="38">
        <v>154</v>
      </c>
      <c r="H229" s="31">
        <v>152</v>
      </c>
      <c r="I229" s="38">
        <v>159</v>
      </c>
      <c r="J229" s="38">
        <v>115</v>
      </c>
      <c r="K229" s="23">
        <v>875</v>
      </c>
    </row>
    <row r="230" spans="1:11" ht="16.5" thickBot="1">
      <c r="A230" s="18">
        <f t="shared" si="3"/>
        <v>225</v>
      </c>
      <c r="B230" s="36" t="s">
        <v>1034</v>
      </c>
      <c r="C230" s="37" t="s">
        <v>1035</v>
      </c>
      <c r="D230" s="37" t="s">
        <v>1024</v>
      </c>
      <c r="E230" s="38">
        <v>150</v>
      </c>
      <c r="F230" s="38"/>
      <c r="G230" s="38">
        <v>182</v>
      </c>
      <c r="H230" s="31">
        <v>168</v>
      </c>
      <c r="I230" s="38">
        <v>234</v>
      </c>
      <c r="J230" s="38">
        <v>139</v>
      </c>
      <c r="K230" s="23">
        <v>873</v>
      </c>
    </row>
    <row r="231" spans="1:11" ht="16.5" thickBot="1">
      <c r="A231" s="18">
        <f t="shared" si="3"/>
        <v>226</v>
      </c>
      <c r="B231" s="36" t="s">
        <v>897</v>
      </c>
      <c r="C231" s="37" t="s">
        <v>1521</v>
      </c>
      <c r="D231" s="37" t="s">
        <v>1518</v>
      </c>
      <c r="E231" s="38">
        <v>108</v>
      </c>
      <c r="F231" s="38"/>
      <c r="G231" s="38">
        <v>268</v>
      </c>
      <c r="H231" s="31">
        <v>166</v>
      </c>
      <c r="I231" s="38">
        <v>150</v>
      </c>
      <c r="J231" s="38">
        <v>178</v>
      </c>
      <c r="K231" s="23">
        <v>870</v>
      </c>
    </row>
    <row r="232" spans="1:11" ht="16.5" thickBot="1">
      <c r="A232" s="18">
        <f t="shared" si="3"/>
        <v>227</v>
      </c>
      <c r="B232" s="36" t="s">
        <v>907</v>
      </c>
      <c r="C232" s="37" t="s">
        <v>1004</v>
      </c>
      <c r="D232" s="37" t="s">
        <v>262</v>
      </c>
      <c r="E232" s="38">
        <v>110</v>
      </c>
      <c r="F232" s="38">
        <v>165</v>
      </c>
      <c r="G232" s="38">
        <v>190</v>
      </c>
      <c r="H232" s="31">
        <v>149</v>
      </c>
      <c r="I232" s="38">
        <v>142</v>
      </c>
      <c r="J232" s="38">
        <v>111</v>
      </c>
      <c r="K232" s="23">
        <v>867</v>
      </c>
    </row>
    <row r="233" spans="1:11" ht="16.5" thickBot="1">
      <c r="A233" s="18">
        <f t="shared" si="3"/>
        <v>228</v>
      </c>
      <c r="B233" s="36" t="s">
        <v>1047</v>
      </c>
      <c r="C233" s="37" t="s">
        <v>1235</v>
      </c>
      <c r="D233" s="37" t="s">
        <v>1228</v>
      </c>
      <c r="E233" s="38">
        <v>135</v>
      </c>
      <c r="F233" s="38">
        <v>170</v>
      </c>
      <c r="G233" s="38">
        <v>209</v>
      </c>
      <c r="H233" s="31">
        <v>169</v>
      </c>
      <c r="I233" s="38"/>
      <c r="J233" s="38">
        <v>178</v>
      </c>
      <c r="K233" s="23">
        <v>861</v>
      </c>
    </row>
    <row r="234" spans="1:11" ht="16.5" thickBot="1">
      <c r="A234" s="18">
        <f t="shared" si="3"/>
        <v>229</v>
      </c>
      <c r="B234" s="36" t="s">
        <v>1253</v>
      </c>
      <c r="C234" s="37" t="s">
        <v>1254</v>
      </c>
      <c r="D234" s="37" t="s">
        <v>113</v>
      </c>
      <c r="E234" s="38">
        <v>125</v>
      </c>
      <c r="F234" s="38">
        <v>166</v>
      </c>
      <c r="G234" s="38">
        <v>130</v>
      </c>
      <c r="H234" s="31">
        <v>136</v>
      </c>
      <c r="I234" s="38">
        <v>164</v>
      </c>
      <c r="J234" s="38">
        <v>137</v>
      </c>
      <c r="K234" s="23">
        <v>858</v>
      </c>
    </row>
    <row r="235" spans="1:11" ht="16.5" thickBot="1">
      <c r="A235" s="18">
        <f t="shared" si="3"/>
        <v>230</v>
      </c>
      <c r="B235" s="36" t="s">
        <v>1076</v>
      </c>
      <c r="C235" s="37" t="s">
        <v>1077</v>
      </c>
      <c r="D235" s="37" t="s">
        <v>479</v>
      </c>
      <c r="E235" s="38"/>
      <c r="F235" s="38"/>
      <c r="G235" s="38">
        <v>215</v>
      </c>
      <c r="H235" s="31">
        <v>212</v>
      </c>
      <c r="I235" s="38">
        <v>207</v>
      </c>
      <c r="J235" s="38">
        <v>222</v>
      </c>
      <c r="K235" s="23">
        <v>856</v>
      </c>
    </row>
    <row r="236" spans="1:11" ht="16.5" thickBot="1">
      <c r="A236" s="18">
        <f t="shared" si="3"/>
        <v>231</v>
      </c>
      <c r="B236" s="36" t="s">
        <v>1234</v>
      </c>
      <c r="C236" s="37" t="s">
        <v>935</v>
      </c>
      <c r="D236" s="37" t="s">
        <v>1228</v>
      </c>
      <c r="E236" s="38">
        <v>150</v>
      </c>
      <c r="F236" s="38">
        <v>140</v>
      </c>
      <c r="G236" s="38">
        <v>244</v>
      </c>
      <c r="H236" s="31">
        <v>146</v>
      </c>
      <c r="I236" s="38"/>
      <c r="J236" s="38">
        <v>174</v>
      </c>
      <c r="K236" s="23">
        <v>854</v>
      </c>
    </row>
    <row r="237" spans="1:11" ht="16.5" thickBot="1">
      <c r="A237" s="18">
        <f t="shared" si="3"/>
        <v>232</v>
      </c>
      <c r="B237" s="36" t="s">
        <v>1107</v>
      </c>
      <c r="C237" s="37" t="s">
        <v>1108</v>
      </c>
      <c r="D237" s="37" t="s">
        <v>636</v>
      </c>
      <c r="E237" s="38">
        <v>137</v>
      </c>
      <c r="F237" s="38">
        <v>176</v>
      </c>
      <c r="G237" s="38">
        <v>121</v>
      </c>
      <c r="H237" s="31">
        <v>144</v>
      </c>
      <c r="I237" s="38">
        <v>125</v>
      </c>
      <c r="J237" s="38">
        <v>150</v>
      </c>
      <c r="K237" s="23">
        <v>853</v>
      </c>
    </row>
    <row r="238" spans="1:11" ht="16.5" thickBot="1">
      <c r="A238" s="18">
        <f t="shared" si="3"/>
        <v>233</v>
      </c>
      <c r="B238" s="36" t="s">
        <v>1461</v>
      </c>
      <c r="C238" s="37" t="s">
        <v>1462</v>
      </c>
      <c r="D238" s="37" t="s">
        <v>501</v>
      </c>
      <c r="E238" s="38">
        <v>182</v>
      </c>
      <c r="F238" s="38">
        <v>191</v>
      </c>
      <c r="G238" s="38">
        <v>135</v>
      </c>
      <c r="H238" s="31"/>
      <c r="I238" s="38">
        <v>166</v>
      </c>
      <c r="J238" s="38">
        <v>179</v>
      </c>
      <c r="K238" s="23">
        <v>853</v>
      </c>
    </row>
    <row r="239" spans="1:11" ht="16.5" thickBot="1">
      <c r="A239" s="18">
        <f t="shared" si="3"/>
        <v>234</v>
      </c>
      <c r="B239" s="36" t="s">
        <v>1517</v>
      </c>
      <c r="C239" s="37" t="s">
        <v>618</v>
      </c>
      <c r="D239" s="37" t="s">
        <v>180</v>
      </c>
      <c r="E239" s="38">
        <v>127</v>
      </c>
      <c r="F239" s="38">
        <v>147</v>
      </c>
      <c r="G239" s="38">
        <v>125</v>
      </c>
      <c r="H239" s="31">
        <v>146</v>
      </c>
      <c r="I239" s="38">
        <v>137</v>
      </c>
      <c r="J239" s="38">
        <v>171</v>
      </c>
      <c r="K239" s="23">
        <v>853</v>
      </c>
    </row>
    <row r="240" spans="1:11" ht="16.5" thickBot="1">
      <c r="A240" s="18">
        <f t="shared" si="3"/>
        <v>235</v>
      </c>
      <c r="B240" s="36" t="s">
        <v>909</v>
      </c>
      <c r="C240" s="37" t="s">
        <v>1133</v>
      </c>
      <c r="D240" s="37" t="s">
        <v>790</v>
      </c>
      <c r="E240" s="38">
        <v>136</v>
      </c>
      <c r="F240" s="38">
        <v>127</v>
      </c>
      <c r="G240" s="38"/>
      <c r="H240" s="31">
        <v>162</v>
      </c>
      <c r="I240" s="38">
        <v>233</v>
      </c>
      <c r="J240" s="38">
        <v>192</v>
      </c>
      <c r="K240" s="23">
        <v>850</v>
      </c>
    </row>
    <row r="241" spans="1:11" ht="16.5" thickBot="1">
      <c r="A241" s="18">
        <f t="shared" si="3"/>
        <v>236</v>
      </c>
      <c r="B241" s="36" t="s">
        <v>400</v>
      </c>
      <c r="C241" s="37" t="s">
        <v>771</v>
      </c>
      <c r="D241" s="37" t="s">
        <v>1413</v>
      </c>
      <c r="E241" s="38">
        <v>189</v>
      </c>
      <c r="F241" s="38">
        <v>187</v>
      </c>
      <c r="G241" s="38">
        <v>172</v>
      </c>
      <c r="H241" s="31">
        <v>151</v>
      </c>
      <c r="I241" s="38"/>
      <c r="J241" s="38">
        <v>151</v>
      </c>
      <c r="K241" s="23">
        <v>850</v>
      </c>
    </row>
    <row r="242" spans="1:11" ht="16.5" thickBot="1">
      <c r="A242" s="18">
        <f t="shared" si="3"/>
        <v>237</v>
      </c>
      <c r="B242" s="36" t="s">
        <v>936</v>
      </c>
      <c r="C242" s="37" t="s">
        <v>487</v>
      </c>
      <c r="D242" s="37" t="s">
        <v>932</v>
      </c>
      <c r="E242" s="38">
        <v>132</v>
      </c>
      <c r="F242" s="38">
        <v>157</v>
      </c>
      <c r="G242" s="38">
        <v>161</v>
      </c>
      <c r="H242" s="31">
        <v>123</v>
      </c>
      <c r="I242" s="38">
        <v>131</v>
      </c>
      <c r="J242" s="38">
        <v>141</v>
      </c>
      <c r="K242" s="23">
        <v>845</v>
      </c>
    </row>
    <row r="243" spans="1:11" ht="16.5" thickBot="1">
      <c r="A243" s="18">
        <f t="shared" si="3"/>
        <v>238</v>
      </c>
      <c r="B243" s="36" t="s">
        <v>394</v>
      </c>
      <c r="C243" s="37" t="s">
        <v>211</v>
      </c>
      <c r="D243" s="37" t="s">
        <v>942</v>
      </c>
      <c r="E243" s="38">
        <v>180</v>
      </c>
      <c r="F243" s="38">
        <v>160</v>
      </c>
      <c r="G243" s="38">
        <v>146</v>
      </c>
      <c r="H243" s="31"/>
      <c r="I243" s="38">
        <v>176</v>
      </c>
      <c r="J243" s="38">
        <v>175</v>
      </c>
      <c r="K243" s="23">
        <v>837</v>
      </c>
    </row>
    <row r="244" spans="1:11" ht="16.5" thickBot="1">
      <c r="A244" s="18">
        <f t="shared" si="3"/>
        <v>239</v>
      </c>
      <c r="B244" s="36" t="s">
        <v>378</v>
      </c>
      <c r="C244" s="37" t="s">
        <v>1406</v>
      </c>
      <c r="D244" s="37" t="s">
        <v>490</v>
      </c>
      <c r="E244" s="38">
        <v>181</v>
      </c>
      <c r="F244" s="38">
        <v>130</v>
      </c>
      <c r="G244" s="38"/>
      <c r="H244" s="31">
        <v>180</v>
      </c>
      <c r="I244" s="38">
        <v>166</v>
      </c>
      <c r="J244" s="38">
        <v>179</v>
      </c>
      <c r="K244" s="23">
        <v>836</v>
      </c>
    </row>
    <row r="245" spans="1:11" ht="16.5" thickBot="1">
      <c r="A245" s="18">
        <f t="shared" si="3"/>
        <v>240</v>
      </c>
      <c r="B245" s="36" t="s">
        <v>1383</v>
      </c>
      <c r="C245" s="37" t="s">
        <v>1384</v>
      </c>
      <c r="D245" s="37" t="s">
        <v>514</v>
      </c>
      <c r="E245" s="38">
        <v>188</v>
      </c>
      <c r="F245" s="38">
        <v>168</v>
      </c>
      <c r="G245" s="38">
        <v>145</v>
      </c>
      <c r="H245" s="31">
        <v>195</v>
      </c>
      <c r="I245" s="38">
        <v>139</v>
      </c>
      <c r="J245" s="38"/>
      <c r="K245" s="23">
        <v>835</v>
      </c>
    </row>
    <row r="246" spans="1:11" ht="16.5" thickBot="1">
      <c r="A246" s="18">
        <f t="shared" si="3"/>
        <v>241</v>
      </c>
      <c r="B246" s="36" t="s">
        <v>97</v>
      </c>
      <c r="C246" s="37" t="s">
        <v>1287</v>
      </c>
      <c r="D246" s="37" t="s">
        <v>654</v>
      </c>
      <c r="E246" s="38">
        <v>166</v>
      </c>
      <c r="F246" s="38">
        <v>175</v>
      </c>
      <c r="G246" s="38">
        <v>172</v>
      </c>
      <c r="H246" s="31">
        <v>187</v>
      </c>
      <c r="I246" s="38">
        <v>134</v>
      </c>
      <c r="J246" s="38"/>
      <c r="K246" s="23">
        <v>834</v>
      </c>
    </row>
    <row r="247" spans="1:11" ht="16.5" thickBot="1">
      <c r="A247" s="18">
        <f t="shared" si="3"/>
        <v>242</v>
      </c>
      <c r="B247" s="36" t="s">
        <v>1152</v>
      </c>
      <c r="C247" s="37" t="s">
        <v>1309</v>
      </c>
      <c r="D247" s="37" t="s">
        <v>1306</v>
      </c>
      <c r="E247" s="38">
        <v>158</v>
      </c>
      <c r="F247" s="38"/>
      <c r="G247" s="38"/>
      <c r="H247" s="31">
        <v>257</v>
      </c>
      <c r="I247" s="38">
        <v>187</v>
      </c>
      <c r="J247" s="38">
        <v>232</v>
      </c>
      <c r="K247" s="23">
        <v>834</v>
      </c>
    </row>
    <row r="248" spans="1:11" ht="16.5" thickBot="1">
      <c r="A248" s="18">
        <f t="shared" si="3"/>
        <v>243</v>
      </c>
      <c r="B248" s="36" t="s">
        <v>943</v>
      </c>
      <c r="C248" s="37" t="s">
        <v>944</v>
      </c>
      <c r="D248" s="37" t="s">
        <v>942</v>
      </c>
      <c r="E248" s="38">
        <v>129</v>
      </c>
      <c r="F248" s="38">
        <v>218</v>
      </c>
      <c r="G248" s="38">
        <v>152</v>
      </c>
      <c r="H248" s="31"/>
      <c r="I248" s="38">
        <v>188</v>
      </c>
      <c r="J248" s="38">
        <v>145</v>
      </c>
      <c r="K248" s="23">
        <v>832</v>
      </c>
    </row>
    <row r="249" spans="1:11" ht="16.5" thickBot="1">
      <c r="A249" s="18">
        <f t="shared" si="3"/>
        <v>244</v>
      </c>
      <c r="B249" s="36" t="s">
        <v>926</v>
      </c>
      <c r="C249" s="37" t="s">
        <v>927</v>
      </c>
      <c r="D249" s="37" t="s">
        <v>751</v>
      </c>
      <c r="E249" s="38"/>
      <c r="F249" s="38">
        <v>152</v>
      </c>
      <c r="G249" s="38">
        <v>168</v>
      </c>
      <c r="H249" s="31">
        <v>157</v>
      </c>
      <c r="I249" s="38">
        <v>167</v>
      </c>
      <c r="J249" s="38">
        <v>185</v>
      </c>
      <c r="K249" s="23">
        <v>829</v>
      </c>
    </row>
    <row r="250" spans="1:11" ht="16.5" thickBot="1">
      <c r="A250" s="18">
        <f t="shared" si="3"/>
        <v>245</v>
      </c>
      <c r="B250" s="36" t="s">
        <v>1364</v>
      </c>
      <c r="C250" s="37" t="s">
        <v>1365</v>
      </c>
      <c r="D250" s="37" t="s">
        <v>1359</v>
      </c>
      <c r="E250" s="38"/>
      <c r="F250" s="38">
        <v>170</v>
      </c>
      <c r="G250" s="38">
        <v>173</v>
      </c>
      <c r="H250" s="31">
        <v>171</v>
      </c>
      <c r="I250" s="38">
        <v>164</v>
      </c>
      <c r="J250" s="38">
        <v>151</v>
      </c>
      <c r="K250" s="23">
        <v>829</v>
      </c>
    </row>
    <row r="251" spans="1:11" ht="16.5" thickBot="1">
      <c r="A251" s="18">
        <f t="shared" si="3"/>
        <v>246</v>
      </c>
      <c r="B251" s="36" t="s">
        <v>1388</v>
      </c>
      <c r="C251" s="37" t="s">
        <v>1389</v>
      </c>
      <c r="D251" s="37" t="s">
        <v>720</v>
      </c>
      <c r="E251" s="38">
        <v>178</v>
      </c>
      <c r="F251" s="38">
        <v>167</v>
      </c>
      <c r="G251" s="38">
        <v>139</v>
      </c>
      <c r="H251" s="31"/>
      <c r="I251" s="38">
        <v>192</v>
      </c>
      <c r="J251" s="38">
        <v>139</v>
      </c>
      <c r="K251" s="23">
        <v>815</v>
      </c>
    </row>
    <row r="252" spans="1:11" ht="16.5" thickBot="1">
      <c r="A252" s="18">
        <f t="shared" si="3"/>
        <v>247</v>
      </c>
      <c r="B252" s="36" t="s">
        <v>993</v>
      </c>
      <c r="C252" s="37" t="s">
        <v>994</v>
      </c>
      <c r="D252" s="37" t="s">
        <v>425</v>
      </c>
      <c r="E252" s="38">
        <v>151</v>
      </c>
      <c r="F252" s="38">
        <v>180</v>
      </c>
      <c r="G252" s="38">
        <v>159</v>
      </c>
      <c r="H252" s="31">
        <v>188</v>
      </c>
      <c r="I252" s="38">
        <v>134</v>
      </c>
      <c r="J252" s="38"/>
      <c r="K252" s="23">
        <v>812</v>
      </c>
    </row>
    <row r="253" spans="1:11" ht="16.5" thickBot="1">
      <c r="A253" s="18">
        <f t="shared" si="3"/>
        <v>248</v>
      </c>
      <c r="B253" s="36" t="s">
        <v>920</v>
      </c>
      <c r="C253" s="37" t="s">
        <v>921</v>
      </c>
      <c r="D253" s="37" t="s">
        <v>751</v>
      </c>
      <c r="E253" s="38">
        <v>138</v>
      </c>
      <c r="F253" s="38"/>
      <c r="G253" s="38">
        <v>173</v>
      </c>
      <c r="H253" s="31">
        <v>182</v>
      </c>
      <c r="I253" s="38">
        <v>166</v>
      </c>
      <c r="J253" s="38">
        <v>144</v>
      </c>
      <c r="K253" s="23">
        <v>803</v>
      </c>
    </row>
    <row r="254" spans="1:11" ht="16.5" thickBot="1">
      <c r="A254" s="18">
        <f t="shared" si="3"/>
        <v>249</v>
      </c>
      <c r="B254" s="36" t="s">
        <v>1067</v>
      </c>
      <c r="C254" s="37" t="s">
        <v>238</v>
      </c>
      <c r="D254" s="37" t="s">
        <v>827</v>
      </c>
      <c r="E254" s="38">
        <v>192</v>
      </c>
      <c r="F254" s="38">
        <v>195</v>
      </c>
      <c r="G254" s="38">
        <v>169</v>
      </c>
      <c r="H254" s="31"/>
      <c r="I254" s="38"/>
      <c r="J254" s="38">
        <v>247</v>
      </c>
      <c r="K254" s="23">
        <v>803</v>
      </c>
    </row>
    <row r="255" spans="1:11" ht="16.5" thickBot="1">
      <c r="A255" s="18">
        <f t="shared" si="3"/>
        <v>250</v>
      </c>
      <c r="B255" s="36" t="s">
        <v>1327</v>
      </c>
      <c r="C255" s="37" t="s">
        <v>1378</v>
      </c>
      <c r="D255" s="37" t="s">
        <v>514</v>
      </c>
      <c r="E255" s="38">
        <v>151</v>
      </c>
      <c r="F255" s="38">
        <v>207</v>
      </c>
      <c r="G255" s="38">
        <v>161</v>
      </c>
      <c r="H255" s="31">
        <v>153</v>
      </c>
      <c r="I255" s="38">
        <v>128</v>
      </c>
      <c r="J255" s="38"/>
      <c r="K255" s="23">
        <v>800</v>
      </c>
    </row>
    <row r="256" spans="1:11" ht="16.5" thickBot="1">
      <c r="A256" s="18">
        <f t="shared" si="3"/>
        <v>251</v>
      </c>
      <c r="B256" s="36" t="s">
        <v>1065</v>
      </c>
      <c r="C256" s="37" t="s">
        <v>1066</v>
      </c>
      <c r="D256" s="37" t="s">
        <v>827</v>
      </c>
      <c r="E256" s="38"/>
      <c r="F256" s="38">
        <v>102</v>
      </c>
      <c r="G256" s="38"/>
      <c r="H256" s="31">
        <v>259</v>
      </c>
      <c r="I256" s="38">
        <v>202</v>
      </c>
      <c r="J256" s="38">
        <v>232</v>
      </c>
      <c r="K256" s="23">
        <v>795</v>
      </c>
    </row>
    <row r="257" spans="1:11" ht="16.5" thickBot="1">
      <c r="A257" s="18">
        <f t="shared" si="3"/>
        <v>252</v>
      </c>
      <c r="B257" s="36" t="s">
        <v>1392</v>
      </c>
      <c r="C257" s="37" t="s">
        <v>1393</v>
      </c>
      <c r="D257" s="37" t="s">
        <v>720</v>
      </c>
      <c r="E257" s="38">
        <v>141</v>
      </c>
      <c r="F257" s="38">
        <v>176</v>
      </c>
      <c r="G257" s="38"/>
      <c r="H257" s="31">
        <v>155</v>
      </c>
      <c r="I257" s="38">
        <v>148</v>
      </c>
      <c r="J257" s="38">
        <v>172</v>
      </c>
      <c r="K257" s="23">
        <v>792</v>
      </c>
    </row>
    <row r="258" spans="1:11" ht="16.5" thickBot="1">
      <c r="A258" s="18">
        <f t="shared" si="3"/>
        <v>253</v>
      </c>
      <c r="B258" s="36" t="s">
        <v>1463</v>
      </c>
      <c r="C258" s="37" t="s">
        <v>1464</v>
      </c>
      <c r="D258" s="37" t="s">
        <v>501</v>
      </c>
      <c r="E258" s="38">
        <v>214</v>
      </c>
      <c r="F258" s="38">
        <v>236</v>
      </c>
      <c r="G258" s="38">
        <v>169</v>
      </c>
      <c r="H258" s="31">
        <v>166</v>
      </c>
      <c r="I258" s="38"/>
      <c r="J258" s="38"/>
      <c r="K258" s="23">
        <v>785</v>
      </c>
    </row>
    <row r="259" spans="1:11" ht="16.5" thickBot="1">
      <c r="A259" s="18">
        <f t="shared" si="3"/>
        <v>254</v>
      </c>
      <c r="B259" s="36" t="s">
        <v>945</v>
      </c>
      <c r="C259" s="37" t="s">
        <v>946</v>
      </c>
      <c r="D259" s="37" t="s">
        <v>942</v>
      </c>
      <c r="E259" s="38">
        <v>142</v>
      </c>
      <c r="F259" s="38">
        <v>171</v>
      </c>
      <c r="G259" s="38">
        <v>171</v>
      </c>
      <c r="H259" s="31">
        <v>138</v>
      </c>
      <c r="I259" s="38"/>
      <c r="J259" s="38">
        <v>161</v>
      </c>
      <c r="K259" s="23">
        <v>783</v>
      </c>
    </row>
    <row r="260" spans="1:11" ht="16.5" thickBot="1">
      <c r="A260" s="18">
        <f t="shared" si="3"/>
        <v>255</v>
      </c>
      <c r="B260" s="36" t="s">
        <v>926</v>
      </c>
      <c r="C260" s="37" t="s">
        <v>1434</v>
      </c>
      <c r="D260" s="37" t="s">
        <v>729</v>
      </c>
      <c r="E260" s="38"/>
      <c r="F260" s="38"/>
      <c r="G260" s="38">
        <v>213</v>
      </c>
      <c r="H260" s="31">
        <v>161</v>
      </c>
      <c r="I260" s="38">
        <v>213</v>
      </c>
      <c r="J260" s="38">
        <v>196</v>
      </c>
      <c r="K260" s="23">
        <v>783</v>
      </c>
    </row>
    <row r="261" spans="1:11" ht="16.5" thickBot="1">
      <c r="A261" s="18">
        <f t="shared" si="3"/>
        <v>256</v>
      </c>
      <c r="B261" s="36" t="s">
        <v>1068</v>
      </c>
      <c r="C261" s="37" t="s">
        <v>894</v>
      </c>
      <c r="D261" s="37" t="s">
        <v>617</v>
      </c>
      <c r="E261" s="38"/>
      <c r="F261" s="38"/>
      <c r="G261" s="38">
        <v>177</v>
      </c>
      <c r="H261" s="31">
        <v>204</v>
      </c>
      <c r="I261" s="38">
        <v>209</v>
      </c>
      <c r="J261" s="38">
        <v>191</v>
      </c>
      <c r="K261" s="23">
        <v>781</v>
      </c>
    </row>
    <row r="262" spans="1:11" ht="16.5" thickBot="1">
      <c r="A262" s="18">
        <f t="shared" si="3"/>
        <v>257</v>
      </c>
      <c r="B262" s="36" t="s">
        <v>979</v>
      </c>
      <c r="C262" s="37" t="s">
        <v>980</v>
      </c>
      <c r="D262" s="37" t="s">
        <v>281</v>
      </c>
      <c r="E262" s="38">
        <v>137</v>
      </c>
      <c r="F262" s="38">
        <v>157</v>
      </c>
      <c r="G262" s="38"/>
      <c r="H262" s="31">
        <v>138</v>
      </c>
      <c r="I262" s="38">
        <v>185</v>
      </c>
      <c r="J262" s="38">
        <v>162</v>
      </c>
      <c r="K262" s="23">
        <v>779</v>
      </c>
    </row>
    <row r="263" spans="1:11" ht="16.5" thickBot="1">
      <c r="A263" s="18">
        <f t="shared" si="3"/>
        <v>258</v>
      </c>
      <c r="B263" s="36" t="s">
        <v>1347</v>
      </c>
      <c r="C263" s="37" t="s">
        <v>118</v>
      </c>
      <c r="D263" s="37" t="s">
        <v>318</v>
      </c>
      <c r="E263" s="38">
        <v>123</v>
      </c>
      <c r="F263" s="38">
        <v>158</v>
      </c>
      <c r="G263" s="38">
        <v>124</v>
      </c>
      <c r="H263" s="31"/>
      <c r="I263" s="38">
        <v>210</v>
      </c>
      <c r="J263" s="38">
        <v>164</v>
      </c>
      <c r="K263" s="23">
        <v>779</v>
      </c>
    </row>
    <row r="264" spans="1:11" ht="16.5" thickBot="1">
      <c r="A264" s="18">
        <f t="shared" ref="A264:A327" si="4">A263+1</f>
        <v>259</v>
      </c>
      <c r="B264" s="36" t="s">
        <v>1140</v>
      </c>
      <c r="C264" s="37" t="s">
        <v>1141</v>
      </c>
      <c r="D264" s="37" t="s">
        <v>127</v>
      </c>
      <c r="E264" s="38"/>
      <c r="F264" s="38"/>
      <c r="G264" s="38">
        <v>159</v>
      </c>
      <c r="H264" s="31">
        <v>211</v>
      </c>
      <c r="I264" s="38">
        <v>193</v>
      </c>
      <c r="J264" s="38">
        <v>214</v>
      </c>
      <c r="K264" s="23">
        <v>777</v>
      </c>
    </row>
    <row r="265" spans="1:11" ht="16.5" thickBot="1">
      <c r="A265" s="18">
        <f t="shared" si="4"/>
        <v>260</v>
      </c>
      <c r="B265" s="36" t="s">
        <v>1175</v>
      </c>
      <c r="C265" s="37" t="s">
        <v>1269</v>
      </c>
      <c r="D265" s="37" t="s">
        <v>856</v>
      </c>
      <c r="E265" s="38"/>
      <c r="F265" s="38"/>
      <c r="G265" s="38">
        <v>211</v>
      </c>
      <c r="H265" s="31">
        <v>163</v>
      </c>
      <c r="I265" s="38">
        <v>170</v>
      </c>
      <c r="J265" s="38">
        <v>233</v>
      </c>
      <c r="K265" s="23">
        <v>777</v>
      </c>
    </row>
    <row r="266" spans="1:11" ht="16.5" thickBot="1">
      <c r="A266" s="18">
        <f t="shared" si="4"/>
        <v>261</v>
      </c>
      <c r="B266" s="36" t="s">
        <v>1047</v>
      </c>
      <c r="C266" s="37" t="s">
        <v>1101</v>
      </c>
      <c r="D266" s="37" t="s">
        <v>1098</v>
      </c>
      <c r="E266" s="38">
        <v>120</v>
      </c>
      <c r="F266" s="38">
        <v>160</v>
      </c>
      <c r="G266" s="38">
        <v>88</v>
      </c>
      <c r="H266" s="31">
        <v>148</v>
      </c>
      <c r="I266" s="38">
        <v>128</v>
      </c>
      <c r="J266" s="38">
        <v>125</v>
      </c>
      <c r="K266" s="23">
        <v>769</v>
      </c>
    </row>
    <row r="267" spans="1:11" ht="16.5" thickBot="1">
      <c r="A267" s="18">
        <f t="shared" si="4"/>
        <v>262</v>
      </c>
      <c r="B267" s="36" t="s">
        <v>914</v>
      </c>
      <c r="C267" s="37" t="s">
        <v>915</v>
      </c>
      <c r="D267" s="37" t="s">
        <v>98</v>
      </c>
      <c r="E267" s="38">
        <v>121</v>
      </c>
      <c r="F267" s="38">
        <v>158</v>
      </c>
      <c r="G267" s="38">
        <v>168</v>
      </c>
      <c r="H267" s="31">
        <v>164</v>
      </c>
      <c r="I267" s="38">
        <v>157</v>
      </c>
      <c r="J267" s="38"/>
      <c r="K267" s="23">
        <v>768</v>
      </c>
    </row>
    <row r="268" spans="1:11" ht="16.5" thickBot="1">
      <c r="A268" s="18">
        <f t="shared" si="4"/>
        <v>263</v>
      </c>
      <c r="B268" s="36" t="s">
        <v>922</v>
      </c>
      <c r="C268" s="37" t="s">
        <v>1512</v>
      </c>
      <c r="D268" s="37" t="s">
        <v>180</v>
      </c>
      <c r="E268" s="38">
        <v>184</v>
      </c>
      <c r="F268" s="38">
        <v>148</v>
      </c>
      <c r="G268" s="38">
        <v>107</v>
      </c>
      <c r="H268" s="31"/>
      <c r="I268" s="38">
        <v>151</v>
      </c>
      <c r="J268" s="38">
        <v>177</v>
      </c>
      <c r="K268" s="23">
        <v>767</v>
      </c>
    </row>
    <row r="269" spans="1:11" ht="16.5" thickBot="1">
      <c r="A269" s="18">
        <f t="shared" si="4"/>
        <v>264</v>
      </c>
      <c r="B269" s="36" t="s">
        <v>530</v>
      </c>
      <c r="C269" s="37" t="s">
        <v>1346</v>
      </c>
      <c r="D269" s="37" t="s">
        <v>318</v>
      </c>
      <c r="E269" s="38">
        <v>145</v>
      </c>
      <c r="F269" s="38">
        <v>166</v>
      </c>
      <c r="G269" s="38">
        <v>153</v>
      </c>
      <c r="H269" s="31">
        <v>168</v>
      </c>
      <c r="I269" s="38">
        <v>133</v>
      </c>
      <c r="J269" s="38"/>
      <c r="K269" s="23">
        <v>765</v>
      </c>
    </row>
    <row r="270" spans="1:11" ht="16.5" thickBot="1">
      <c r="A270" s="18">
        <f t="shared" si="4"/>
        <v>265</v>
      </c>
      <c r="B270" s="36" t="s">
        <v>912</v>
      </c>
      <c r="C270" s="37" t="s">
        <v>1475</v>
      </c>
      <c r="D270" s="37" t="s">
        <v>817</v>
      </c>
      <c r="E270" s="38">
        <v>204</v>
      </c>
      <c r="F270" s="38">
        <v>212</v>
      </c>
      <c r="G270" s="38">
        <v>188</v>
      </c>
      <c r="H270" s="31">
        <v>159</v>
      </c>
      <c r="I270" s="38"/>
      <c r="J270" s="38"/>
      <c r="K270" s="23">
        <v>763</v>
      </c>
    </row>
    <row r="271" spans="1:11" ht="16.5" thickBot="1">
      <c r="A271" s="18">
        <f t="shared" si="4"/>
        <v>266</v>
      </c>
      <c r="B271" s="36" t="s">
        <v>984</v>
      </c>
      <c r="C271" s="37" t="s">
        <v>1487</v>
      </c>
      <c r="D271" s="37" t="s">
        <v>575</v>
      </c>
      <c r="E271" s="38">
        <v>257</v>
      </c>
      <c r="F271" s="38">
        <v>202</v>
      </c>
      <c r="G271" s="38">
        <v>155</v>
      </c>
      <c r="H271" s="31">
        <v>147</v>
      </c>
      <c r="I271" s="38"/>
      <c r="J271" s="38"/>
      <c r="K271" s="23">
        <v>761</v>
      </c>
    </row>
    <row r="272" spans="1:11" ht="16.5" thickBot="1">
      <c r="A272" s="18">
        <f t="shared" si="4"/>
        <v>267</v>
      </c>
      <c r="B272" s="36" t="s">
        <v>1084</v>
      </c>
      <c r="C272" s="37" t="s">
        <v>1311</v>
      </c>
      <c r="D272" s="37" t="s">
        <v>1306</v>
      </c>
      <c r="E272" s="38">
        <v>225</v>
      </c>
      <c r="F272" s="38">
        <v>161</v>
      </c>
      <c r="G272" s="38">
        <v>159</v>
      </c>
      <c r="H272" s="31"/>
      <c r="I272" s="38"/>
      <c r="J272" s="38">
        <v>215</v>
      </c>
      <c r="K272" s="23">
        <v>760</v>
      </c>
    </row>
    <row r="273" spans="1:11" ht="16.5" thickBot="1">
      <c r="A273" s="18">
        <f t="shared" si="4"/>
        <v>268</v>
      </c>
      <c r="B273" s="36" t="s">
        <v>1450</v>
      </c>
      <c r="C273" s="37" t="s">
        <v>1451</v>
      </c>
      <c r="D273" s="37" t="s">
        <v>807</v>
      </c>
      <c r="E273" s="38">
        <v>104</v>
      </c>
      <c r="F273" s="38">
        <v>114</v>
      </c>
      <c r="G273" s="38">
        <v>138</v>
      </c>
      <c r="H273" s="31">
        <v>127</v>
      </c>
      <c r="I273" s="38">
        <v>110</v>
      </c>
      <c r="J273" s="38">
        <v>166</v>
      </c>
      <c r="K273" s="23">
        <v>759</v>
      </c>
    </row>
    <row r="274" spans="1:11" ht="16.5" thickBot="1">
      <c r="A274" s="18">
        <f t="shared" si="4"/>
        <v>269</v>
      </c>
      <c r="B274" s="36" t="s">
        <v>97</v>
      </c>
      <c r="C274" s="37" t="s">
        <v>934</v>
      </c>
      <c r="D274" s="37" t="s">
        <v>304</v>
      </c>
      <c r="E274" s="38">
        <v>129</v>
      </c>
      <c r="F274" s="38"/>
      <c r="G274" s="38"/>
      <c r="H274" s="31">
        <v>179</v>
      </c>
      <c r="I274" s="38">
        <v>255</v>
      </c>
      <c r="J274" s="38">
        <v>192</v>
      </c>
      <c r="K274" s="23">
        <v>755</v>
      </c>
    </row>
    <row r="275" spans="1:11" ht="16.5" thickBot="1">
      <c r="A275" s="18">
        <f t="shared" si="4"/>
        <v>270</v>
      </c>
      <c r="B275" s="36" t="s">
        <v>1204</v>
      </c>
      <c r="C275" s="37" t="s">
        <v>1205</v>
      </c>
      <c r="D275" s="37" t="s">
        <v>1199</v>
      </c>
      <c r="E275" s="38">
        <v>132</v>
      </c>
      <c r="F275" s="38">
        <v>148</v>
      </c>
      <c r="G275" s="38"/>
      <c r="H275" s="31">
        <v>139</v>
      </c>
      <c r="I275" s="38">
        <v>159</v>
      </c>
      <c r="J275" s="38">
        <v>176</v>
      </c>
      <c r="K275" s="23">
        <v>754</v>
      </c>
    </row>
    <row r="276" spans="1:11" ht="16.5" thickBot="1">
      <c r="A276" s="18">
        <f t="shared" si="4"/>
        <v>271</v>
      </c>
      <c r="B276" s="36" t="s">
        <v>1334</v>
      </c>
      <c r="C276" s="37" t="s">
        <v>1507</v>
      </c>
      <c r="D276" s="37" t="s">
        <v>363</v>
      </c>
      <c r="E276" s="38">
        <v>125</v>
      </c>
      <c r="F276" s="38"/>
      <c r="G276" s="38">
        <v>140</v>
      </c>
      <c r="H276" s="31">
        <v>179</v>
      </c>
      <c r="I276" s="38">
        <v>133</v>
      </c>
      <c r="J276" s="38">
        <v>177</v>
      </c>
      <c r="K276" s="23">
        <v>754</v>
      </c>
    </row>
    <row r="277" spans="1:11" ht="16.5" thickBot="1">
      <c r="A277" s="18">
        <f t="shared" si="4"/>
        <v>272</v>
      </c>
      <c r="B277" s="36" t="s">
        <v>1005</v>
      </c>
      <c r="C277" s="37" t="s">
        <v>1006</v>
      </c>
      <c r="D277" s="37" t="s">
        <v>262</v>
      </c>
      <c r="E277" s="38">
        <v>119</v>
      </c>
      <c r="F277" s="38">
        <v>119</v>
      </c>
      <c r="G277" s="38">
        <v>124</v>
      </c>
      <c r="H277" s="31">
        <v>126</v>
      </c>
      <c r="I277" s="38">
        <v>127</v>
      </c>
      <c r="J277" s="38">
        <v>136</v>
      </c>
      <c r="K277" s="23">
        <v>751</v>
      </c>
    </row>
    <row r="278" spans="1:11" ht="16.5" thickBot="1">
      <c r="A278" s="18">
        <f t="shared" si="4"/>
        <v>273</v>
      </c>
      <c r="B278" s="36" t="s">
        <v>997</v>
      </c>
      <c r="C278" s="37" t="s">
        <v>998</v>
      </c>
      <c r="D278" s="37" t="s">
        <v>425</v>
      </c>
      <c r="E278" s="38">
        <v>168</v>
      </c>
      <c r="F278" s="38">
        <v>173</v>
      </c>
      <c r="G278" s="38">
        <v>123</v>
      </c>
      <c r="H278" s="31">
        <v>154</v>
      </c>
      <c r="I278" s="38">
        <v>128</v>
      </c>
      <c r="J278" s="38"/>
      <c r="K278" s="23">
        <v>746</v>
      </c>
    </row>
    <row r="279" spans="1:11" ht="16.5" thickBot="1">
      <c r="A279" s="18">
        <f t="shared" si="4"/>
        <v>274</v>
      </c>
      <c r="B279" s="36" t="s">
        <v>916</v>
      </c>
      <c r="C279" s="37" t="s">
        <v>1102</v>
      </c>
      <c r="D279" s="37" t="s">
        <v>1098</v>
      </c>
      <c r="E279" s="38">
        <v>124</v>
      </c>
      <c r="F279" s="38">
        <v>107</v>
      </c>
      <c r="G279" s="38">
        <v>148</v>
      </c>
      <c r="H279" s="31">
        <v>121</v>
      </c>
      <c r="I279" s="38">
        <v>90</v>
      </c>
      <c r="J279" s="38">
        <v>143</v>
      </c>
      <c r="K279" s="23">
        <v>733</v>
      </c>
    </row>
    <row r="280" spans="1:11" ht="16.5" thickBot="1">
      <c r="A280" s="18">
        <f t="shared" si="4"/>
        <v>275</v>
      </c>
      <c r="B280" s="36" t="s">
        <v>916</v>
      </c>
      <c r="C280" s="37" t="s">
        <v>917</v>
      </c>
      <c r="D280" s="37" t="s">
        <v>98</v>
      </c>
      <c r="E280" s="38"/>
      <c r="F280" s="38">
        <v>143</v>
      </c>
      <c r="G280" s="38">
        <v>203</v>
      </c>
      <c r="H280" s="31">
        <v>222</v>
      </c>
      <c r="I280" s="38">
        <v>161</v>
      </c>
      <c r="J280" s="38"/>
      <c r="K280" s="23">
        <v>729</v>
      </c>
    </row>
    <row r="281" spans="1:11" ht="16.5" thickBot="1">
      <c r="A281" s="18">
        <f t="shared" si="4"/>
        <v>276</v>
      </c>
      <c r="B281" s="36" t="s">
        <v>400</v>
      </c>
      <c r="C281" s="37" t="s">
        <v>1148</v>
      </c>
      <c r="D281" s="37" t="s">
        <v>127</v>
      </c>
      <c r="E281" s="38">
        <v>170</v>
      </c>
      <c r="F281" s="38">
        <v>176</v>
      </c>
      <c r="G281" s="38">
        <v>178</v>
      </c>
      <c r="H281" s="31"/>
      <c r="I281" s="38"/>
      <c r="J281" s="38">
        <v>200</v>
      </c>
      <c r="K281" s="23">
        <v>724</v>
      </c>
    </row>
    <row r="282" spans="1:11" ht="16.5" thickBot="1">
      <c r="A282" s="18">
        <f t="shared" si="4"/>
        <v>277</v>
      </c>
      <c r="B282" s="36" t="s">
        <v>1152</v>
      </c>
      <c r="C282" s="37" t="s">
        <v>1371</v>
      </c>
      <c r="D282" s="37" t="s">
        <v>84</v>
      </c>
      <c r="E282" s="38">
        <v>130</v>
      </c>
      <c r="F282" s="38">
        <v>152</v>
      </c>
      <c r="G282" s="38">
        <v>116</v>
      </c>
      <c r="H282" s="31"/>
      <c r="I282" s="38">
        <v>167</v>
      </c>
      <c r="J282" s="38">
        <v>159</v>
      </c>
      <c r="K282" s="23">
        <v>724</v>
      </c>
    </row>
    <row r="283" spans="1:11" ht="16.5" thickBot="1">
      <c r="A283" s="18">
        <f t="shared" si="4"/>
        <v>278</v>
      </c>
      <c r="B283" s="36" t="s">
        <v>903</v>
      </c>
      <c r="C283" s="37" t="s">
        <v>904</v>
      </c>
      <c r="D283" s="37" t="s">
        <v>781</v>
      </c>
      <c r="E283" s="38"/>
      <c r="F283" s="38"/>
      <c r="G283" s="38">
        <v>166</v>
      </c>
      <c r="H283" s="31">
        <v>202</v>
      </c>
      <c r="I283" s="38">
        <v>181</v>
      </c>
      <c r="J283" s="38">
        <v>171</v>
      </c>
      <c r="K283" s="23">
        <v>720</v>
      </c>
    </row>
    <row r="284" spans="1:11" ht="16.5" thickBot="1">
      <c r="A284" s="18">
        <f t="shared" si="4"/>
        <v>279</v>
      </c>
      <c r="B284" s="36" t="s">
        <v>993</v>
      </c>
      <c r="C284" s="37" t="s">
        <v>1100</v>
      </c>
      <c r="D284" s="37" t="s">
        <v>1098</v>
      </c>
      <c r="E284" s="38">
        <v>122</v>
      </c>
      <c r="F284" s="38">
        <v>136</v>
      </c>
      <c r="G284" s="38">
        <v>128</v>
      </c>
      <c r="H284" s="31">
        <v>97</v>
      </c>
      <c r="I284" s="38">
        <v>97</v>
      </c>
      <c r="J284" s="38">
        <v>136</v>
      </c>
      <c r="K284" s="23">
        <v>716</v>
      </c>
    </row>
    <row r="285" spans="1:11" ht="16.5" thickBot="1">
      <c r="A285" s="18">
        <f t="shared" si="4"/>
        <v>280</v>
      </c>
      <c r="B285" s="36" t="s">
        <v>916</v>
      </c>
      <c r="C285" s="37" t="s">
        <v>1314</v>
      </c>
      <c r="D285" s="37" t="s">
        <v>1306</v>
      </c>
      <c r="E285" s="38">
        <v>173</v>
      </c>
      <c r="F285" s="38">
        <v>169</v>
      </c>
      <c r="G285" s="38"/>
      <c r="H285" s="31">
        <v>210</v>
      </c>
      <c r="I285" s="38">
        <v>158</v>
      </c>
      <c r="J285" s="38"/>
      <c r="K285" s="23">
        <v>710</v>
      </c>
    </row>
    <row r="286" spans="1:11" ht="16.5" thickBot="1">
      <c r="A286" s="18">
        <f t="shared" si="4"/>
        <v>281</v>
      </c>
      <c r="B286" s="36" t="s">
        <v>1175</v>
      </c>
      <c r="C286" s="37" t="s">
        <v>1176</v>
      </c>
      <c r="D286" s="37" t="s">
        <v>763</v>
      </c>
      <c r="E286" s="38"/>
      <c r="F286" s="38"/>
      <c r="G286" s="38">
        <v>155</v>
      </c>
      <c r="H286" s="31">
        <v>172</v>
      </c>
      <c r="I286" s="38">
        <v>190</v>
      </c>
      <c r="J286" s="38">
        <v>192</v>
      </c>
      <c r="K286" s="23">
        <v>709</v>
      </c>
    </row>
    <row r="287" spans="1:11" ht="16.5" thickBot="1">
      <c r="A287" s="18">
        <f t="shared" si="4"/>
        <v>282</v>
      </c>
      <c r="B287" s="36" t="s">
        <v>1203</v>
      </c>
      <c r="C287" s="37" t="s">
        <v>1360</v>
      </c>
      <c r="D287" s="37" t="s">
        <v>1359</v>
      </c>
      <c r="E287" s="38">
        <v>163</v>
      </c>
      <c r="F287" s="38">
        <v>169</v>
      </c>
      <c r="G287" s="38">
        <v>153</v>
      </c>
      <c r="H287" s="31"/>
      <c r="I287" s="38"/>
      <c r="J287" s="38">
        <v>215</v>
      </c>
      <c r="K287" s="23">
        <v>700</v>
      </c>
    </row>
    <row r="288" spans="1:11" ht="16.5" thickBot="1">
      <c r="A288" s="18">
        <f t="shared" si="4"/>
        <v>283</v>
      </c>
      <c r="B288" s="36" t="s">
        <v>924</v>
      </c>
      <c r="C288" s="37" t="s">
        <v>956</v>
      </c>
      <c r="D288" s="37" t="s">
        <v>295</v>
      </c>
      <c r="E288" s="38">
        <v>172</v>
      </c>
      <c r="F288" s="38">
        <v>174</v>
      </c>
      <c r="G288" s="38">
        <v>151</v>
      </c>
      <c r="H288" s="31"/>
      <c r="I288" s="38"/>
      <c r="J288" s="38">
        <v>200</v>
      </c>
      <c r="K288" s="23">
        <v>697</v>
      </c>
    </row>
    <row r="289" spans="1:11" ht="16.5" thickBot="1">
      <c r="A289" s="18">
        <f t="shared" si="4"/>
        <v>284</v>
      </c>
      <c r="B289" s="36" t="s">
        <v>1027</v>
      </c>
      <c r="C289" s="37" t="s">
        <v>1028</v>
      </c>
      <c r="D289" s="37" t="s">
        <v>1024</v>
      </c>
      <c r="E289" s="38"/>
      <c r="F289" s="38">
        <v>153</v>
      </c>
      <c r="G289" s="38">
        <v>167</v>
      </c>
      <c r="H289" s="31">
        <v>190</v>
      </c>
      <c r="I289" s="38"/>
      <c r="J289" s="38">
        <v>182</v>
      </c>
      <c r="K289" s="23">
        <v>692</v>
      </c>
    </row>
    <row r="290" spans="1:11" ht="16.5" thickBot="1">
      <c r="A290" s="18">
        <f t="shared" si="4"/>
        <v>285</v>
      </c>
      <c r="B290" s="36" t="s">
        <v>805</v>
      </c>
      <c r="C290" s="37" t="s">
        <v>948</v>
      </c>
      <c r="D290" s="37" t="s">
        <v>942</v>
      </c>
      <c r="E290" s="38"/>
      <c r="F290" s="38">
        <v>192</v>
      </c>
      <c r="G290" s="38"/>
      <c r="H290" s="31">
        <v>158</v>
      </c>
      <c r="I290" s="38">
        <v>164</v>
      </c>
      <c r="J290" s="38">
        <v>169</v>
      </c>
      <c r="K290" s="23">
        <v>683</v>
      </c>
    </row>
    <row r="291" spans="1:11" ht="16.5" thickBot="1">
      <c r="A291" s="18">
        <f t="shared" si="4"/>
        <v>286</v>
      </c>
      <c r="B291" s="36" t="s">
        <v>1272</v>
      </c>
      <c r="C291" s="37" t="s">
        <v>1329</v>
      </c>
      <c r="D291" s="37" t="s">
        <v>799</v>
      </c>
      <c r="E291" s="38">
        <v>131</v>
      </c>
      <c r="F291" s="38"/>
      <c r="G291" s="38"/>
      <c r="H291" s="31">
        <v>166</v>
      </c>
      <c r="I291" s="38">
        <v>201</v>
      </c>
      <c r="J291" s="38">
        <v>184</v>
      </c>
      <c r="K291" s="23">
        <v>682</v>
      </c>
    </row>
    <row r="292" spans="1:11" ht="16.5" thickBot="1">
      <c r="A292" s="18">
        <f t="shared" si="4"/>
        <v>287</v>
      </c>
      <c r="B292" s="36" t="s">
        <v>899</v>
      </c>
      <c r="C292" s="37" t="s">
        <v>900</v>
      </c>
      <c r="D292" s="37" t="s">
        <v>781</v>
      </c>
      <c r="E292" s="38">
        <v>178</v>
      </c>
      <c r="F292" s="38">
        <v>155</v>
      </c>
      <c r="G292" s="38">
        <v>198</v>
      </c>
      <c r="H292" s="31">
        <v>148</v>
      </c>
      <c r="I292" s="38"/>
      <c r="J292" s="38"/>
      <c r="K292" s="23">
        <v>679</v>
      </c>
    </row>
    <row r="293" spans="1:11" ht="16.5" thickBot="1">
      <c r="A293" s="18">
        <f t="shared" si="4"/>
        <v>288</v>
      </c>
      <c r="B293" s="36" t="s">
        <v>1272</v>
      </c>
      <c r="C293" s="37" t="s">
        <v>348</v>
      </c>
      <c r="D293" s="37" t="s">
        <v>1339</v>
      </c>
      <c r="E293" s="38"/>
      <c r="F293" s="38"/>
      <c r="G293" s="38">
        <v>170</v>
      </c>
      <c r="H293" s="31">
        <v>202</v>
      </c>
      <c r="I293" s="38">
        <v>154</v>
      </c>
      <c r="J293" s="38">
        <v>153</v>
      </c>
      <c r="K293" s="23">
        <v>679</v>
      </c>
    </row>
    <row r="294" spans="1:11" ht="16.5" thickBot="1">
      <c r="A294" s="18">
        <f t="shared" si="4"/>
        <v>289</v>
      </c>
      <c r="B294" s="36" t="s">
        <v>924</v>
      </c>
      <c r="C294" s="37" t="s">
        <v>925</v>
      </c>
      <c r="D294" s="37" t="s">
        <v>751</v>
      </c>
      <c r="E294" s="38">
        <v>192</v>
      </c>
      <c r="F294" s="38">
        <v>207</v>
      </c>
      <c r="G294" s="38">
        <v>146</v>
      </c>
      <c r="H294" s="31"/>
      <c r="I294" s="38">
        <v>130</v>
      </c>
      <c r="J294" s="38"/>
      <c r="K294" s="23">
        <v>675</v>
      </c>
    </row>
    <row r="295" spans="1:11" ht="16.5" thickBot="1">
      <c r="A295" s="18">
        <f t="shared" si="4"/>
        <v>290</v>
      </c>
      <c r="B295" s="36" t="s">
        <v>1233</v>
      </c>
      <c r="C295" s="37" t="s">
        <v>1023</v>
      </c>
      <c r="D295" s="37" t="s">
        <v>1228</v>
      </c>
      <c r="E295" s="38">
        <v>177</v>
      </c>
      <c r="F295" s="38">
        <v>156</v>
      </c>
      <c r="G295" s="38"/>
      <c r="H295" s="31"/>
      <c r="I295" s="38">
        <v>168</v>
      </c>
      <c r="J295" s="38">
        <v>172</v>
      </c>
      <c r="K295" s="23">
        <v>673</v>
      </c>
    </row>
    <row r="296" spans="1:11" ht="16.5" thickBot="1">
      <c r="A296" s="18">
        <f t="shared" si="4"/>
        <v>291</v>
      </c>
      <c r="B296" s="36" t="s">
        <v>949</v>
      </c>
      <c r="C296" s="37" t="s">
        <v>1149</v>
      </c>
      <c r="D296" s="37" t="s">
        <v>127</v>
      </c>
      <c r="E296" s="38">
        <v>176</v>
      </c>
      <c r="F296" s="38">
        <v>176</v>
      </c>
      <c r="G296" s="38"/>
      <c r="H296" s="31"/>
      <c r="I296" s="38">
        <v>167</v>
      </c>
      <c r="J296" s="38">
        <v>152</v>
      </c>
      <c r="K296" s="23">
        <v>671</v>
      </c>
    </row>
    <row r="297" spans="1:11" ht="16.5" thickBot="1">
      <c r="A297" s="18">
        <f t="shared" si="4"/>
        <v>292</v>
      </c>
      <c r="B297" s="36" t="s">
        <v>1391</v>
      </c>
      <c r="C297" s="37" t="s">
        <v>756</v>
      </c>
      <c r="D297" s="37" t="s">
        <v>720</v>
      </c>
      <c r="E297" s="38"/>
      <c r="F297" s="38"/>
      <c r="G297" s="38">
        <v>181</v>
      </c>
      <c r="H297" s="31">
        <v>191</v>
      </c>
      <c r="I297" s="38">
        <v>146</v>
      </c>
      <c r="J297" s="38">
        <v>150</v>
      </c>
      <c r="K297" s="23">
        <v>668</v>
      </c>
    </row>
    <row r="298" spans="1:11" ht="16.5" thickBot="1">
      <c r="A298" s="18">
        <f t="shared" si="4"/>
        <v>293</v>
      </c>
      <c r="B298" s="36" t="s">
        <v>1072</v>
      </c>
      <c r="C298" s="37" t="s">
        <v>1225</v>
      </c>
      <c r="D298" s="37" t="s">
        <v>452</v>
      </c>
      <c r="E298" s="38">
        <v>181</v>
      </c>
      <c r="F298" s="38">
        <v>169</v>
      </c>
      <c r="G298" s="38">
        <v>140</v>
      </c>
      <c r="H298" s="31"/>
      <c r="I298" s="38"/>
      <c r="J298" s="38">
        <v>174</v>
      </c>
      <c r="K298" s="23">
        <v>664</v>
      </c>
    </row>
    <row r="299" spans="1:11" ht="16.5" thickBot="1">
      <c r="A299" s="18">
        <f t="shared" si="4"/>
        <v>294</v>
      </c>
      <c r="B299" s="36" t="s">
        <v>1084</v>
      </c>
      <c r="C299" s="37" t="s">
        <v>1085</v>
      </c>
      <c r="D299" s="37" t="s">
        <v>479</v>
      </c>
      <c r="E299" s="38">
        <v>182</v>
      </c>
      <c r="F299" s="38">
        <v>190</v>
      </c>
      <c r="G299" s="38">
        <v>119</v>
      </c>
      <c r="H299" s="31"/>
      <c r="I299" s="38"/>
      <c r="J299" s="38">
        <v>171</v>
      </c>
      <c r="K299" s="23">
        <v>662</v>
      </c>
    </row>
    <row r="300" spans="1:11" ht="16.5" thickBot="1">
      <c r="A300" s="18">
        <f t="shared" si="4"/>
        <v>295</v>
      </c>
      <c r="B300" s="36" t="s">
        <v>193</v>
      </c>
      <c r="C300" s="37" t="s">
        <v>1366</v>
      </c>
      <c r="D300" s="37" t="s">
        <v>1359</v>
      </c>
      <c r="E300" s="38">
        <v>184</v>
      </c>
      <c r="F300" s="38">
        <v>151</v>
      </c>
      <c r="G300" s="38"/>
      <c r="H300" s="31"/>
      <c r="I300" s="38">
        <v>149</v>
      </c>
      <c r="J300" s="38">
        <v>176</v>
      </c>
      <c r="K300" s="23">
        <v>660</v>
      </c>
    </row>
    <row r="301" spans="1:11" ht="16.5" thickBot="1">
      <c r="A301" s="18">
        <f t="shared" si="4"/>
        <v>296</v>
      </c>
      <c r="B301" s="36" t="s">
        <v>1526</v>
      </c>
      <c r="C301" s="37" t="s">
        <v>1527</v>
      </c>
      <c r="D301" s="37" t="s">
        <v>413</v>
      </c>
      <c r="E301" s="38">
        <v>171</v>
      </c>
      <c r="F301" s="38">
        <v>189</v>
      </c>
      <c r="G301" s="38">
        <v>140</v>
      </c>
      <c r="H301" s="31"/>
      <c r="I301" s="38"/>
      <c r="J301" s="38">
        <v>157</v>
      </c>
      <c r="K301" s="23">
        <v>657</v>
      </c>
    </row>
    <row r="302" spans="1:11" ht="16.5" thickBot="1">
      <c r="A302" s="18">
        <f t="shared" si="4"/>
        <v>297</v>
      </c>
      <c r="B302" s="36" t="s">
        <v>1240</v>
      </c>
      <c r="C302" s="37" t="s">
        <v>1241</v>
      </c>
      <c r="D302" s="37" t="s">
        <v>626</v>
      </c>
      <c r="E302" s="38">
        <v>200</v>
      </c>
      <c r="F302" s="38">
        <v>161</v>
      </c>
      <c r="G302" s="38">
        <v>146</v>
      </c>
      <c r="H302" s="31">
        <v>143</v>
      </c>
      <c r="I302" s="38"/>
      <c r="J302" s="38"/>
      <c r="K302" s="23">
        <v>650</v>
      </c>
    </row>
    <row r="303" spans="1:11" ht="16.5" thickBot="1">
      <c r="A303" s="18">
        <f t="shared" si="4"/>
        <v>298</v>
      </c>
      <c r="B303" s="36" t="s">
        <v>907</v>
      </c>
      <c r="C303" s="37" t="s">
        <v>1018</v>
      </c>
      <c r="D303" s="37" t="s">
        <v>438</v>
      </c>
      <c r="E303" s="38">
        <v>167</v>
      </c>
      <c r="F303" s="38">
        <v>154</v>
      </c>
      <c r="G303" s="38">
        <v>177</v>
      </c>
      <c r="H303" s="31">
        <v>146</v>
      </c>
      <c r="I303" s="38"/>
      <c r="J303" s="38"/>
      <c r="K303" s="23">
        <v>644</v>
      </c>
    </row>
    <row r="304" spans="1:11" ht="16.5" thickBot="1">
      <c r="A304" s="18">
        <f t="shared" si="4"/>
        <v>299</v>
      </c>
      <c r="B304" s="36" t="s">
        <v>1179</v>
      </c>
      <c r="C304" s="37" t="s">
        <v>1180</v>
      </c>
      <c r="D304" s="37" t="s">
        <v>763</v>
      </c>
      <c r="E304" s="38">
        <v>148</v>
      </c>
      <c r="F304" s="38">
        <v>169</v>
      </c>
      <c r="G304" s="38">
        <v>160</v>
      </c>
      <c r="H304" s="31">
        <v>163</v>
      </c>
      <c r="I304" s="38"/>
      <c r="J304" s="38"/>
      <c r="K304" s="23">
        <v>640</v>
      </c>
    </row>
    <row r="305" spans="1:11" ht="16.5" thickBot="1">
      <c r="A305" s="18">
        <f t="shared" si="4"/>
        <v>300</v>
      </c>
      <c r="B305" s="36" t="s">
        <v>912</v>
      </c>
      <c r="C305" s="37" t="s">
        <v>913</v>
      </c>
      <c r="D305" s="37" t="s">
        <v>98</v>
      </c>
      <c r="E305" s="38">
        <v>141</v>
      </c>
      <c r="F305" s="38"/>
      <c r="G305" s="38">
        <v>147</v>
      </c>
      <c r="H305" s="31">
        <v>139</v>
      </c>
      <c r="I305" s="38"/>
      <c r="J305" s="38">
        <v>212</v>
      </c>
      <c r="K305" s="23">
        <v>639</v>
      </c>
    </row>
    <row r="306" spans="1:11" ht="16.5" thickBot="1">
      <c r="A306" s="18">
        <f t="shared" si="4"/>
        <v>301</v>
      </c>
      <c r="B306" s="36" t="s">
        <v>949</v>
      </c>
      <c r="C306" s="37" t="s">
        <v>950</v>
      </c>
      <c r="D306" s="37" t="s">
        <v>942</v>
      </c>
      <c r="E306" s="38">
        <v>121</v>
      </c>
      <c r="F306" s="38"/>
      <c r="G306" s="38">
        <v>179</v>
      </c>
      <c r="H306" s="31">
        <v>191</v>
      </c>
      <c r="I306" s="38">
        <v>148</v>
      </c>
      <c r="J306" s="38"/>
      <c r="K306" s="23">
        <v>639</v>
      </c>
    </row>
    <row r="307" spans="1:11" ht="16.5" thickBot="1">
      <c r="A307" s="18">
        <f t="shared" si="4"/>
        <v>302</v>
      </c>
      <c r="B307" s="36" t="s">
        <v>929</v>
      </c>
      <c r="C307" s="37" t="s">
        <v>930</v>
      </c>
      <c r="D307" s="37" t="s">
        <v>751</v>
      </c>
      <c r="E307" s="38">
        <v>187</v>
      </c>
      <c r="F307" s="38">
        <v>148</v>
      </c>
      <c r="G307" s="38"/>
      <c r="H307" s="31">
        <v>179</v>
      </c>
      <c r="I307" s="38">
        <v>120</v>
      </c>
      <c r="J307" s="38"/>
      <c r="K307" s="23">
        <v>634</v>
      </c>
    </row>
    <row r="308" spans="1:11" ht="16.5" thickBot="1">
      <c r="A308" s="18">
        <f t="shared" si="4"/>
        <v>303</v>
      </c>
      <c r="B308" s="36" t="s">
        <v>1297</v>
      </c>
      <c r="C308" s="37" t="s">
        <v>1298</v>
      </c>
      <c r="D308" s="37" t="s">
        <v>617</v>
      </c>
      <c r="E308" s="38">
        <v>159</v>
      </c>
      <c r="F308" s="38">
        <v>153</v>
      </c>
      <c r="G308" s="38"/>
      <c r="H308" s="31"/>
      <c r="I308" s="38">
        <v>160</v>
      </c>
      <c r="J308" s="38">
        <v>151</v>
      </c>
      <c r="K308" s="23">
        <v>623</v>
      </c>
    </row>
    <row r="309" spans="1:11" ht="16.5" thickBot="1">
      <c r="A309" s="18">
        <f t="shared" si="4"/>
        <v>304</v>
      </c>
      <c r="B309" s="36" t="s">
        <v>195</v>
      </c>
      <c r="C309" s="37" t="s">
        <v>1349</v>
      </c>
      <c r="D309" s="37" t="s">
        <v>318</v>
      </c>
      <c r="E309" s="38">
        <v>111</v>
      </c>
      <c r="F309" s="38"/>
      <c r="G309" s="38">
        <v>101</v>
      </c>
      <c r="H309" s="31">
        <v>135</v>
      </c>
      <c r="I309" s="38">
        <v>126</v>
      </c>
      <c r="J309" s="38">
        <v>149</v>
      </c>
      <c r="K309" s="23">
        <v>622</v>
      </c>
    </row>
    <row r="310" spans="1:11" ht="16.5" thickBot="1">
      <c r="A310" s="18">
        <f t="shared" si="4"/>
        <v>305</v>
      </c>
      <c r="B310" s="36" t="s">
        <v>922</v>
      </c>
      <c r="C310" s="37" t="s">
        <v>923</v>
      </c>
      <c r="D310" s="37" t="s">
        <v>751</v>
      </c>
      <c r="E310" s="38">
        <v>143</v>
      </c>
      <c r="F310" s="38"/>
      <c r="G310" s="38">
        <v>157</v>
      </c>
      <c r="H310" s="31">
        <v>139</v>
      </c>
      <c r="I310" s="38"/>
      <c r="J310" s="38">
        <v>181</v>
      </c>
      <c r="K310" s="23">
        <v>620</v>
      </c>
    </row>
    <row r="311" spans="1:11" ht="16.5" thickBot="1">
      <c r="A311" s="18">
        <f t="shared" si="4"/>
        <v>306</v>
      </c>
      <c r="B311" s="36" t="s">
        <v>19</v>
      </c>
      <c r="C311" s="37" t="s">
        <v>928</v>
      </c>
      <c r="D311" s="37" t="s">
        <v>751</v>
      </c>
      <c r="E311" s="38"/>
      <c r="F311" s="38">
        <v>164</v>
      </c>
      <c r="G311" s="38">
        <v>144</v>
      </c>
      <c r="H311" s="31"/>
      <c r="I311" s="38">
        <v>149</v>
      </c>
      <c r="J311" s="38">
        <v>153</v>
      </c>
      <c r="K311" s="23">
        <v>610</v>
      </c>
    </row>
    <row r="312" spans="1:11" ht="16.5" thickBot="1">
      <c r="A312" s="18">
        <f t="shared" si="4"/>
        <v>307</v>
      </c>
      <c r="B312" s="36" t="s">
        <v>1096</v>
      </c>
      <c r="C312" s="37" t="s">
        <v>1097</v>
      </c>
      <c r="D312" s="37" t="s">
        <v>536</v>
      </c>
      <c r="E312" s="38">
        <v>164</v>
      </c>
      <c r="F312" s="38">
        <v>178</v>
      </c>
      <c r="G312" s="38">
        <v>143</v>
      </c>
      <c r="H312" s="31">
        <v>119</v>
      </c>
      <c r="I312" s="38"/>
      <c r="J312" s="38"/>
      <c r="K312" s="23">
        <v>604</v>
      </c>
    </row>
    <row r="313" spans="1:11" ht="16.5" thickBot="1">
      <c r="A313" s="18">
        <f t="shared" si="4"/>
        <v>308</v>
      </c>
      <c r="B313" s="36" t="s">
        <v>1428</v>
      </c>
      <c r="C313" s="37" t="s">
        <v>1429</v>
      </c>
      <c r="D313" s="37" t="s">
        <v>27</v>
      </c>
      <c r="E313" s="38">
        <v>112</v>
      </c>
      <c r="F313" s="38"/>
      <c r="G313" s="38"/>
      <c r="H313" s="31">
        <v>159</v>
      </c>
      <c r="I313" s="38">
        <v>193</v>
      </c>
      <c r="J313" s="38">
        <v>134</v>
      </c>
      <c r="K313" s="23">
        <v>598</v>
      </c>
    </row>
    <row r="314" spans="1:11" ht="16.5" thickBot="1">
      <c r="A314" s="18">
        <f t="shared" si="4"/>
        <v>309</v>
      </c>
      <c r="B314" s="36" t="s">
        <v>1456</v>
      </c>
      <c r="C314" s="37" t="s">
        <v>1457</v>
      </c>
      <c r="D314" s="37" t="s">
        <v>501</v>
      </c>
      <c r="E314" s="38"/>
      <c r="F314" s="38"/>
      <c r="G314" s="38"/>
      <c r="H314" s="31">
        <v>206</v>
      </c>
      <c r="I314" s="38">
        <v>186</v>
      </c>
      <c r="J314" s="38">
        <v>201</v>
      </c>
      <c r="K314" s="23">
        <v>593</v>
      </c>
    </row>
    <row r="315" spans="1:11" ht="16.5" thickBot="1">
      <c r="A315" s="18">
        <f t="shared" si="4"/>
        <v>310</v>
      </c>
      <c r="B315" s="36" t="s">
        <v>1486</v>
      </c>
      <c r="C315" s="37" t="s">
        <v>58</v>
      </c>
      <c r="D315" s="37" t="s">
        <v>575</v>
      </c>
      <c r="E315" s="38">
        <v>236</v>
      </c>
      <c r="F315" s="38">
        <v>191</v>
      </c>
      <c r="G315" s="38">
        <v>148</v>
      </c>
      <c r="H315" s="31"/>
      <c r="I315" s="38"/>
      <c r="J315" s="38"/>
      <c r="K315" s="23">
        <v>575</v>
      </c>
    </row>
    <row r="316" spans="1:11" ht="16.5" thickBot="1">
      <c r="A316" s="18">
        <f t="shared" si="4"/>
        <v>311</v>
      </c>
      <c r="B316" s="36" t="s">
        <v>1170</v>
      </c>
      <c r="C316" s="37" t="s">
        <v>1427</v>
      </c>
      <c r="D316" s="37" t="s">
        <v>27</v>
      </c>
      <c r="E316" s="38"/>
      <c r="F316" s="38">
        <v>162</v>
      </c>
      <c r="G316" s="38">
        <v>135</v>
      </c>
      <c r="H316" s="31">
        <v>159</v>
      </c>
      <c r="I316" s="38">
        <v>112</v>
      </c>
      <c r="J316" s="38"/>
      <c r="K316" s="23">
        <v>568</v>
      </c>
    </row>
    <row r="317" spans="1:11" ht="16.5" thickBot="1">
      <c r="A317" s="18">
        <f t="shared" si="4"/>
        <v>312</v>
      </c>
      <c r="B317" s="36" t="s">
        <v>984</v>
      </c>
      <c r="C317" s="37" t="s">
        <v>1285</v>
      </c>
      <c r="D317" s="37" t="s">
        <v>654</v>
      </c>
      <c r="E317" s="38">
        <v>216</v>
      </c>
      <c r="F317" s="38">
        <v>204</v>
      </c>
      <c r="G317" s="38">
        <v>146</v>
      </c>
      <c r="H317" s="31"/>
      <c r="I317" s="38"/>
      <c r="J317" s="38"/>
      <c r="K317" s="23">
        <v>566</v>
      </c>
    </row>
    <row r="318" spans="1:11" ht="16.5" thickBot="1">
      <c r="A318" s="18">
        <f t="shared" si="4"/>
        <v>313</v>
      </c>
      <c r="B318" s="36" t="s">
        <v>984</v>
      </c>
      <c r="C318" s="37" t="s">
        <v>289</v>
      </c>
      <c r="D318" s="37" t="s">
        <v>817</v>
      </c>
      <c r="E318" s="38"/>
      <c r="F318" s="38"/>
      <c r="G318" s="38"/>
      <c r="H318" s="31">
        <v>183</v>
      </c>
      <c r="I318" s="38">
        <v>204</v>
      </c>
      <c r="J318" s="38">
        <v>167</v>
      </c>
      <c r="K318" s="23">
        <v>554</v>
      </c>
    </row>
    <row r="319" spans="1:11" ht="16.5" thickBot="1">
      <c r="A319" s="18">
        <f t="shared" si="4"/>
        <v>314</v>
      </c>
      <c r="B319" s="36" t="s">
        <v>1494</v>
      </c>
      <c r="C319" s="37" t="s">
        <v>1495</v>
      </c>
      <c r="D319" s="37" t="s">
        <v>713</v>
      </c>
      <c r="E319" s="38">
        <v>166</v>
      </c>
      <c r="F319" s="38"/>
      <c r="G319" s="38"/>
      <c r="H319" s="31"/>
      <c r="I319" s="38">
        <v>189</v>
      </c>
      <c r="J319" s="38">
        <v>196</v>
      </c>
      <c r="K319" s="23">
        <v>551</v>
      </c>
    </row>
    <row r="320" spans="1:11" ht="16.5" thickBot="1">
      <c r="A320" s="18">
        <f t="shared" si="4"/>
        <v>315</v>
      </c>
      <c r="B320" s="36" t="s">
        <v>1284</v>
      </c>
      <c r="C320" s="37" t="s">
        <v>316</v>
      </c>
      <c r="D320" s="37" t="s">
        <v>654</v>
      </c>
      <c r="E320" s="38"/>
      <c r="F320" s="38"/>
      <c r="G320" s="38"/>
      <c r="H320" s="31">
        <v>213</v>
      </c>
      <c r="I320" s="38">
        <v>191</v>
      </c>
      <c r="J320" s="38">
        <v>146</v>
      </c>
      <c r="K320" s="23">
        <v>550</v>
      </c>
    </row>
    <row r="321" spans="1:11" ht="16.5" thickBot="1">
      <c r="A321" s="18">
        <f t="shared" si="4"/>
        <v>316</v>
      </c>
      <c r="B321" s="36" t="s">
        <v>1356</v>
      </c>
      <c r="C321" s="37" t="s">
        <v>1357</v>
      </c>
      <c r="D321" s="37" t="s">
        <v>44</v>
      </c>
      <c r="E321" s="38">
        <v>131</v>
      </c>
      <c r="F321" s="38">
        <v>144</v>
      </c>
      <c r="G321" s="38">
        <v>125</v>
      </c>
      <c r="H321" s="31"/>
      <c r="I321" s="38"/>
      <c r="J321" s="38">
        <v>147</v>
      </c>
      <c r="K321" s="23">
        <v>547</v>
      </c>
    </row>
    <row r="322" spans="1:11" ht="16.5" thickBot="1">
      <c r="A322" s="18">
        <f t="shared" si="4"/>
        <v>317</v>
      </c>
      <c r="B322" s="36" t="s">
        <v>1414</v>
      </c>
      <c r="C322" s="37" t="s">
        <v>1415</v>
      </c>
      <c r="D322" s="37" t="s">
        <v>1413</v>
      </c>
      <c r="E322" s="38">
        <v>166</v>
      </c>
      <c r="F322" s="38"/>
      <c r="G322" s="38"/>
      <c r="H322" s="31"/>
      <c r="I322" s="38">
        <v>196</v>
      </c>
      <c r="J322" s="38">
        <v>183</v>
      </c>
      <c r="K322" s="23">
        <v>545</v>
      </c>
    </row>
    <row r="323" spans="1:11" ht="16.5" thickBot="1">
      <c r="A323" s="18">
        <f t="shared" si="4"/>
        <v>318</v>
      </c>
      <c r="B323" s="36" t="s">
        <v>961</v>
      </c>
      <c r="C323" s="37" t="s">
        <v>962</v>
      </c>
      <c r="D323" s="37" t="s">
        <v>295</v>
      </c>
      <c r="E323" s="38"/>
      <c r="F323" s="38"/>
      <c r="G323" s="38"/>
      <c r="H323" s="31">
        <v>221</v>
      </c>
      <c r="I323" s="38">
        <v>177</v>
      </c>
      <c r="J323" s="38">
        <v>139</v>
      </c>
      <c r="K323" s="23">
        <v>537</v>
      </c>
    </row>
    <row r="324" spans="1:11" ht="16.5" thickBot="1">
      <c r="A324" s="18">
        <f t="shared" si="4"/>
        <v>319</v>
      </c>
      <c r="B324" s="36" t="s">
        <v>1164</v>
      </c>
      <c r="C324" s="37" t="s">
        <v>1165</v>
      </c>
      <c r="D324" s="37" t="s">
        <v>665</v>
      </c>
      <c r="E324" s="38"/>
      <c r="F324" s="38"/>
      <c r="G324" s="38"/>
      <c r="H324" s="31">
        <v>149</v>
      </c>
      <c r="I324" s="38">
        <v>212</v>
      </c>
      <c r="J324" s="38">
        <v>174</v>
      </c>
      <c r="K324" s="23">
        <v>535</v>
      </c>
    </row>
    <row r="325" spans="1:11" ht="16.5" thickBot="1">
      <c r="A325" s="18">
        <f t="shared" si="4"/>
        <v>320</v>
      </c>
      <c r="B325" s="36" t="s">
        <v>1478</v>
      </c>
      <c r="C325" s="37" t="s">
        <v>1479</v>
      </c>
      <c r="D325" s="37" t="s">
        <v>817</v>
      </c>
      <c r="E325" s="38">
        <v>179</v>
      </c>
      <c r="F325" s="38">
        <v>184</v>
      </c>
      <c r="G325" s="38">
        <v>171</v>
      </c>
      <c r="H325" s="31"/>
      <c r="I325" s="38"/>
      <c r="J325" s="38"/>
      <c r="K325" s="23">
        <v>534</v>
      </c>
    </row>
    <row r="326" spans="1:11" ht="16.5" thickBot="1">
      <c r="A326" s="18">
        <f t="shared" si="4"/>
        <v>321</v>
      </c>
      <c r="B326" s="36" t="s">
        <v>897</v>
      </c>
      <c r="C326" s="37" t="s">
        <v>968</v>
      </c>
      <c r="D326" s="37" t="s">
        <v>167</v>
      </c>
      <c r="E326" s="38"/>
      <c r="F326" s="38"/>
      <c r="G326" s="38"/>
      <c r="H326" s="31">
        <v>192</v>
      </c>
      <c r="I326" s="38">
        <v>157</v>
      </c>
      <c r="J326" s="38">
        <v>183</v>
      </c>
      <c r="K326" s="23">
        <v>532</v>
      </c>
    </row>
    <row r="327" spans="1:11" ht="16.5" thickBot="1">
      <c r="A327" s="18">
        <f t="shared" si="4"/>
        <v>322</v>
      </c>
      <c r="B327" s="36" t="s">
        <v>907</v>
      </c>
      <c r="C327" s="37" t="s">
        <v>340</v>
      </c>
      <c r="D327" s="37" t="s">
        <v>98</v>
      </c>
      <c r="E327" s="38">
        <v>167</v>
      </c>
      <c r="F327" s="38">
        <v>181</v>
      </c>
      <c r="G327" s="38"/>
      <c r="H327" s="31"/>
      <c r="I327" s="38">
        <v>182</v>
      </c>
      <c r="J327" s="38"/>
      <c r="K327" s="23">
        <v>530</v>
      </c>
    </row>
    <row r="328" spans="1:11" ht="16.5" thickBot="1">
      <c r="A328" s="18">
        <f t="shared" ref="A328:A391" si="5">A327+1</f>
        <v>323</v>
      </c>
      <c r="B328" s="36" t="s">
        <v>916</v>
      </c>
      <c r="C328" s="37" t="s">
        <v>931</v>
      </c>
      <c r="D328" s="37" t="s">
        <v>751</v>
      </c>
      <c r="E328" s="38">
        <v>147</v>
      </c>
      <c r="F328" s="38">
        <v>117</v>
      </c>
      <c r="G328" s="38"/>
      <c r="H328" s="31">
        <v>146</v>
      </c>
      <c r="I328" s="38"/>
      <c r="J328" s="38">
        <v>120</v>
      </c>
      <c r="K328" s="23">
        <v>530</v>
      </c>
    </row>
    <row r="329" spans="1:11" ht="16.5" thickBot="1">
      <c r="A329" s="18">
        <f t="shared" si="5"/>
        <v>324</v>
      </c>
      <c r="B329" s="36" t="s">
        <v>916</v>
      </c>
      <c r="C329" s="37" t="s">
        <v>973</v>
      </c>
      <c r="D329" s="37" t="s">
        <v>167</v>
      </c>
      <c r="E329" s="38">
        <v>161</v>
      </c>
      <c r="F329" s="38">
        <v>226</v>
      </c>
      <c r="G329" s="38">
        <v>140</v>
      </c>
      <c r="H329" s="31"/>
      <c r="I329" s="38"/>
      <c r="J329" s="38"/>
      <c r="K329" s="23">
        <v>527</v>
      </c>
    </row>
    <row r="330" spans="1:11" ht="16.5" thickBot="1">
      <c r="A330" s="18">
        <f t="shared" si="5"/>
        <v>325</v>
      </c>
      <c r="B330" s="36" t="s">
        <v>990</v>
      </c>
      <c r="C330" s="37" t="s">
        <v>1158</v>
      </c>
      <c r="D330" s="37" t="s">
        <v>750</v>
      </c>
      <c r="E330" s="38"/>
      <c r="F330" s="38"/>
      <c r="G330" s="38"/>
      <c r="H330" s="31">
        <v>180</v>
      </c>
      <c r="I330" s="38">
        <v>156</v>
      </c>
      <c r="J330" s="38">
        <v>191</v>
      </c>
      <c r="K330" s="23">
        <v>527</v>
      </c>
    </row>
    <row r="331" spans="1:11" ht="16.5" thickBot="1">
      <c r="A331" s="18">
        <f t="shared" si="5"/>
        <v>326</v>
      </c>
      <c r="B331" s="36" t="s">
        <v>1175</v>
      </c>
      <c r="C331" s="37" t="s">
        <v>1492</v>
      </c>
      <c r="D331" s="37" t="s">
        <v>713</v>
      </c>
      <c r="E331" s="38">
        <v>148</v>
      </c>
      <c r="F331" s="38"/>
      <c r="G331" s="38">
        <v>158</v>
      </c>
      <c r="H331" s="31"/>
      <c r="I331" s="38"/>
      <c r="J331" s="38">
        <v>211</v>
      </c>
      <c r="K331" s="23">
        <v>517</v>
      </c>
    </row>
    <row r="332" spans="1:11" ht="16.5" thickBot="1">
      <c r="A332" s="18">
        <f t="shared" si="5"/>
        <v>327</v>
      </c>
      <c r="B332" s="36" t="s">
        <v>467</v>
      </c>
      <c r="C332" s="37" t="s">
        <v>1382</v>
      </c>
      <c r="D332" s="37" t="s">
        <v>514</v>
      </c>
      <c r="E332" s="38"/>
      <c r="F332" s="38"/>
      <c r="G332" s="38"/>
      <c r="H332" s="31">
        <v>194</v>
      </c>
      <c r="I332" s="38">
        <v>160</v>
      </c>
      <c r="J332" s="38">
        <v>159</v>
      </c>
      <c r="K332" s="23">
        <v>513</v>
      </c>
    </row>
    <row r="333" spans="1:11" ht="16.5" thickBot="1">
      <c r="A333" s="18">
        <f t="shared" si="5"/>
        <v>328</v>
      </c>
      <c r="B333" s="36" t="s">
        <v>195</v>
      </c>
      <c r="C333" s="37" t="s">
        <v>1496</v>
      </c>
      <c r="D333" s="37" t="s">
        <v>713</v>
      </c>
      <c r="E333" s="38"/>
      <c r="F333" s="38">
        <v>201</v>
      </c>
      <c r="G333" s="38">
        <v>165</v>
      </c>
      <c r="H333" s="31">
        <v>147</v>
      </c>
      <c r="I333" s="38"/>
      <c r="J333" s="38"/>
      <c r="K333" s="23">
        <v>513</v>
      </c>
    </row>
    <row r="334" spans="1:11" ht="16.5" thickBot="1">
      <c r="A334" s="18">
        <f t="shared" si="5"/>
        <v>329</v>
      </c>
      <c r="B334" s="36" t="s">
        <v>1480</v>
      </c>
      <c r="C334" s="37" t="s">
        <v>1481</v>
      </c>
      <c r="D334" s="37" t="s">
        <v>575</v>
      </c>
      <c r="E334" s="38"/>
      <c r="F334" s="38"/>
      <c r="G334" s="38"/>
      <c r="H334" s="31">
        <v>181</v>
      </c>
      <c r="I334" s="38">
        <v>181</v>
      </c>
      <c r="J334" s="38">
        <v>143</v>
      </c>
      <c r="K334" s="23">
        <v>505</v>
      </c>
    </row>
    <row r="335" spans="1:11" ht="16.5" thickBot="1">
      <c r="A335" s="18">
        <f t="shared" si="5"/>
        <v>330</v>
      </c>
      <c r="B335" s="36" t="s">
        <v>1159</v>
      </c>
      <c r="C335" s="37" t="s">
        <v>1160</v>
      </c>
      <c r="D335" s="37" t="s">
        <v>750</v>
      </c>
      <c r="E335" s="38">
        <v>190</v>
      </c>
      <c r="F335" s="38">
        <v>179</v>
      </c>
      <c r="G335" s="38">
        <v>135</v>
      </c>
      <c r="H335" s="31"/>
      <c r="I335" s="38"/>
      <c r="J335" s="38"/>
      <c r="K335" s="23">
        <v>504</v>
      </c>
    </row>
    <row r="336" spans="1:11" ht="16.5" thickBot="1">
      <c r="A336" s="18">
        <f t="shared" si="5"/>
        <v>331</v>
      </c>
      <c r="B336" s="36" t="s">
        <v>926</v>
      </c>
      <c r="C336" s="37" t="s">
        <v>1385</v>
      </c>
      <c r="D336" s="37" t="s">
        <v>514</v>
      </c>
      <c r="E336" s="38">
        <v>159</v>
      </c>
      <c r="F336" s="38">
        <v>153</v>
      </c>
      <c r="G336" s="38"/>
      <c r="H336" s="31"/>
      <c r="I336" s="38"/>
      <c r="J336" s="38">
        <v>178</v>
      </c>
      <c r="K336" s="23">
        <v>490</v>
      </c>
    </row>
    <row r="337" spans="1:11" ht="16.5" thickBot="1">
      <c r="A337" s="18">
        <f t="shared" si="5"/>
        <v>332</v>
      </c>
      <c r="B337" s="36" t="s">
        <v>1093</v>
      </c>
      <c r="C337" s="37" t="s">
        <v>284</v>
      </c>
      <c r="D337" s="37" t="s">
        <v>1413</v>
      </c>
      <c r="E337" s="38"/>
      <c r="F337" s="38">
        <v>184</v>
      </c>
      <c r="G337" s="38">
        <v>154</v>
      </c>
      <c r="H337" s="31"/>
      <c r="I337" s="38">
        <v>152</v>
      </c>
      <c r="J337" s="38"/>
      <c r="K337" s="23">
        <v>490</v>
      </c>
    </row>
    <row r="338" spans="1:11" ht="16.5" thickBot="1">
      <c r="A338" s="18">
        <f t="shared" si="5"/>
        <v>333</v>
      </c>
      <c r="B338" s="36" t="s">
        <v>1170</v>
      </c>
      <c r="C338" s="37" t="s">
        <v>1171</v>
      </c>
      <c r="D338" s="37" t="s">
        <v>665</v>
      </c>
      <c r="E338" s="38">
        <v>165</v>
      </c>
      <c r="F338" s="38">
        <v>132</v>
      </c>
      <c r="G338" s="38">
        <v>188</v>
      </c>
      <c r="H338" s="31"/>
      <c r="I338" s="38"/>
      <c r="J338" s="38"/>
      <c r="K338" s="23">
        <v>485</v>
      </c>
    </row>
    <row r="339" spans="1:11" ht="16.5" thickBot="1">
      <c r="A339" s="18">
        <f t="shared" si="5"/>
        <v>334</v>
      </c>
      <c r="B339" s="36" t="s">
        <v>952</v>
      </c>
      <c r="C339" s="37" t="s">
        <v>953</v>
      </c>
      <c r="D339" s="37" t="s">
        <v>295</v>
      </c>
      <c r="E339" s="38">
        <v>180</v>
      </c>
      <c r="F339" s="38">
        <v>149</v>
      </c>
      <c r="G339" s="38">
        <v>151</v>
      </c>
      <c r="H339" s="31"/>
      <c r="I339" s="38"/>
      <c r="J339" s="38"/>
      <c r="K339" s="23">
        <v>480</v>
      </c>
    </row>
    <row r="340" spans="1:11" ht="16.5" thickBot="1">
      <c r="A340" s="18">
        <f t="shared" si="5"/>
        <v>335</v>
      </c>
      <c r="B340" s="36" t="s">
        <v>916</v>
      </c>
      <c r="C340" s="37" t="s">
        <v>284</v>
      </c>
      <c r="D340" s="37" t="s">
        <v>1228</v>
      </c>
      <c r="E340" s="38"/>
      <c r="F340" s="38"/>
      <c r="G340" s="38">
        <v>154</v>
      </c>
      <c r="H340" s="31">
        <v>181</v>
      </c>
      <c r="I340" s="38">
        <v>145</v>
      </c>
      <c r="J340" s="38"/>
      <c r="K340" s="23">
        <v>480</v>
      </c>
    </row>
    <row r="341" spans="1:11" ht="16.5" thickBot="1">
      <c r="A341" s="18">
        <f t="shared" si="5"/>
        <v>336</v>
      </c>
      <c r="B341" s="36" t="s">
        <v>1361</v>
      </c>
      <c r="C341" s="37" t="s">
        <v>1362</v>
      </c>
      <c r="D341" s="37" t="s">
        <v>1359</v>
      </c>
      <c r="E341" s="38">
        <v>144</v>
      </c>
      <c r="F341" s="38"/>
      <c r="G341" s="38"/>
      <c r="H341" s="31">
        <v>147</v>
      </c>
      <c r="I341" s="38"/>
      <c r="J341" s="38">
        <v>184</v>
      </c>
      <c r="K341" s="23">
        <v>475</v>
      </c>
    </row>
    <row r="342" spans="1:11" ht="16.5" thickBot="1">
      <c r="A342" s="18">
        <f t="shared" si="5"/>
        <v>337</v>
      </c>
      <c r="B342" s="36" t="s">
        <v>1162</v>
      </c>
      <c r="C342" s="37" t="s">
        <v>1163</v>
      </c>
      <c r="D342" s="37" t="s">
        <v>665</v>
      </c>
      <c r="E342" s="38">
        <v>129</v>
      </c>
      <c r="F342" s="38">
        <v>176</v>
      </c>
      <c r="G342" s="38">
        <v>168</v>
      </c>
      <c r="H342" s="31"/>
      <c r="I342" s="38"/>
      <c r="J342" s="38"/>
      <c r="K342" s="23">
        <v>473</v>
      </c>
    </row>
    <row r="343" spans="1:11" ht="16.5" thickBot="1">
      <c r="A343" s="18">
        <f t="shared" si="5"/>
        <v>338</v>
      </c>
      <c r="B343" s="36" t="s">
        <v>1400</v>
      </c>
      <c r="C343" s="37" t="s">
        <v>1401</v>
      </c>
      <c r="D343" s="37" t="s">
        <v>490</v>
      </c>
      <c r="E343" s="38">
        <v>161</v>
      </c>
      <c r="F343" s="38"/>
      <c r="G343" s="38">
        <v>160</v>
      </c>
      <c r="H343" s="31">
        <v>145</v>
      </c>
      <c r="I343" s="38"/>
      <c r="J343" s="38"/>
      <c r="K343" s="23">
        <v>466</v>
      </c>
    </row>
    <row r="344" spans="1:11" ht="16.5" thickBot="1">
      <c r="A344" s="18">
        <f t="shared" si="5"/>
        <v>339</v>
      </c>
      <c r="B344" s="36" t="s">
        <v>1126</v>
      </c>
      <c r="C344" s="37" t="s">
        <v>1127</v>
      </c>
      <c r="D344" s="37" t="s">
        <v>304</v>
      </c>
      <c r="E344" s="38">
        <v>156</v>
      </c>
      <c r="F344" s="38">
        <v>166</v>
      </c>
      <c r="G344" s="38">
        <v>143</v>
      </c>
      <c r="H344" s="31"/>
      <c r="I344" s="38"/>
      <c r="J344" s="38"/>
      <c r="K344" s="23">
        <v>465</v>
      </c>
    </row>
    <row r="345" spans="1:11" ht="16.5" thickBot="1">
      <c r="A345" s="18">
        <f t="shared" si="5"/>
        <v>340</v>
      </c>
      <c r="B345" s="36" t="s">
        <v>195</v>
      </c>
      <c r="C345" s="37" t="s">
        <v>267</v>
      </c>
      <c r="D345" s="37" t="s">
        <v>827</v>
      </c>
      <c r="E345" s="38">
        <v>128</v>
      </c>
      <c r="F345" s="38"/>
      <c r="G345" s="38"/>
      <c r="H345" s="31">
        <v>171</v>
      </c>
      <c r="I345" s="38">
        <v>164</v>
      </c>
      <c r="J345" s="38"/>
      <c r="K345" s="23">
        <v>463</v>
      </c>
    </row>
    <row r="346" spans="1:11" ht="16.5" thickBot="1">
      <c r="A346" s="18">
        <f t="shared" si="5"/>
        <v>341</v>
      </c>
      <c r="B346" s="36" t="s">
        <v>1029</v>
      </c>
      <c r="C346" s="37" t="s">
        <v>762</v>
      </c>
      <c r="D346" s="37" t="s">
        <v>1024</v>
      </c>
      <c r="E346" s="38">
        <v>185</v>
      </c>
      <c r="F346" s="38">
        <v>117</v>
      </c>
      <c r="G346" s="38"/>
      <c r="H346" s="31"/>
      <c r="I346" s="38">
        <v>157</v>
      </c>
      <c r="J346" s="38"/>
      <c r="K346" s="23">
        <v>459</v>
      </c>
    </row>
    <row r="347" spans="1:11" ht="16.5" thickBot="1">
      <c r="A347" s="18">
        <f t="shared" si="5"/>
        <v>342</v>
      </c>
      <c r="B347" s="36" t="s">
        <v>1172</v>
      </c>
      <c r="C347" s="37" t="s">
        <v>1173</v>
      </c>
      <c r="D347" s="37" t="s">
        <v>665</v>
      </c>
      <c r="E347" s="38"/>
      <c r="F347" s="38"/>
      <c r="G347" s="38"/>
      <c r="H347" s="31">
        <v>158</v>
      </c>
      <c r="I347" s="38">
        <v>125</v>
      </c>
      <c r="J347" s="38">
        <v>175</v>
      </c>
      <c r="K347" s="23">
        <v>458</v>
      </c>
    </row>
    <row r="348" spans="1:11" ht="16.5" thickBot="1">
      <c r="A348" s="18">
        <f t="shared" si="5"/>
        <v>343</v>
      </c>
      <c r="B348" s="36" t="s">
        <v>1226</v>
      </c>
      <c r="C348" s="37" t="s">
        <v>1227</v>
      </c>
      <c r="D348" s="37" t="s">
        <v>452</v>
      </c>
      <c r="E348" s="38"/>
      <c r="F348" s="38"/>
      <c r="G348" s="38"/>
      <c r="H348" s="31">
        <v>258</v>
      </c>
      <c r="I348" s="38">
        <v>200</v>
      </c>
      <c r="J348" s="38"/>
      <c r="K348" s="23">
        <v>458</v>
      </c>
    </row>
    <row r="349" spans="1:11" ht="16.5" thickBot="1">
      <c r="A349" s="18">
        <f t="shared" si="5"/>
        <v>344</v>
      </c>
      <c r="B349" s="36" t="s">
        <v>1000</v>
      </c>
      <c r="C349" s="37" t="s">
        <v>1399</v>
      </c>
      <c r="D349" s="37" t="s">
        <v>490</v>
      </c>
      <c r="E349" s="38">
        <v>167</v>
      </c>
      <c r="F349" s="38">
        <v>144</v>
      </c>
      <c r="G349" s="38"/>
      <c r="H349" s="31"/>
      <c r="I349" s="38">
        <v>140</v>
      </c>
      <c r="J349" s="38"/>
      <c r="K349" s="23">
        <v>451</v>
      </c>
    </row>
    <row r="350" spans="1:11" ht="16.5" thickBot="1">
      <c r="A350" s="18">
        <f t="shared" si="5"/>
        <v>345</v>
      </c>
      <c r="B350" s="36" t="s">
        <v>1084</v>
      </c>
      <c r="C350" s="37" t="s">
        <v>1471</v>
      </c>
      <c r="D350" s="37" t="s">
        <v>817</v>
      </c>
      <c r="E350" s="38"/>
      <c r="F350" s="38"/>
      <c r="G350" s="38"/>
      <c r="H350" s="31"/>
      <c r="I350" s="38">
        <v>255</v>
      </c>
      <c r="J350" s="38">
        <v>190</v>
      </c>
      <c r="K350" s="23">
        <v>445</v>
      </c>
    </row>
    <row r="351" spans="1:11" ht="16.5" thickBot="1">
      <c r="A351" s="18">
        <f t="shared" si="5"/>
        <v>346</v>
      </c>
      <c r="B351" s="36" t="s">
        <v>1327</v>
      </c>
      <c r="C351" s="37" t="s">
        <v>1328</v>
      </c>
      <c r="D351" s="37" t="s">
        <v>799</v>
      </c>
      <c r="E351" s="38">
        <v>172</v>
      </c>
      <c r="F351" s="38">
        <v>134</v>
      </c>
      <c r="G351" s="38"/>
      <c r="H351" s="31"/>
      <c r="I351" s="38">
        <v>138</v>
      </c>
      <c r="J351" s="38"/>
      <c r="K351" s="23">
        <v>444</v>
      </c>
    </row>
    <row r="352" spans="1:11" ht="16.5" thickBot="1">
      <c r="A352" s="18">
        <f t="shared" si="5"/>
        <v>347</v>
      </c>
      <c r="B352" s="36" t="s">
        <v>1430</v>
      </c>
      <c r="C352" s="37" t="s">
        <v>1431</v>
      </c>
      <c r="D352" s="37" t="s">
        <v>27</v>
      </c>
      <c r="E352" s="38">
        <v>165</v>
      </c>
      <c r="F352" s="38">
        <v>140</v>
      </c>
      <c r="G352" s="38">
        <v>138</v>
      </c>
      <c r="H352" s="31"/>
      <c r="I352" s="38"/>
      <c r="J352" s="38"/>
      <c r="K352" s="23">
        <v>443</v>
      </c>
    </row>
    <row r="353" spans="1:11" ht="16.5" thickBot="1">
      <c r="A353" s="18">
        <f t="shared" si="5"/>
        <v>348</v>
      </c>
      <c r="B353" s="36" t="s">
        <v>924</v>
      </c>
      <c r="C353" s="37" t="s">
        <v>995</v>
      </c>
      <c r="D353" s="37" t="s">
        <v>425</v>
      </c>
      <c r="E353" s="38"/>
      <c r="F353" s="38">
        <v>147</v>
      </c>
      <c r="G353" s="38"/>
      <c r="H353" s="31">
        <v>172</v>
      </c>
      <c r="I353" s="38">
        <v>115</v>
      </c>
      <c r="J353" s="38"/>
      <c r="K353" s="23">
        <v>434</v>
      </c>
    </row>
    <row r="354" spans="1:11" ht="16.5" thickBot="1">
      <c r="A354" s="18">
        <f t="shared" si="5"/>
        <v>349</v>
      </c>
      <c r="B354" s="36" t="s">
        <v>128</v>
      </c>
      <c r="C354" s="37" t="s">
        <v>1374</v>
      </c>
      <c r="D354" s="37" t="s">
        <v>84</v>
      </c>
      <c r="E354" s="38">
        <v>133</v>
      </c>
      <c r="F354" s="38"/>
      <c r="G354" s="38"/>
      <c r="H354" s="31">
        <v>150</v>
      </c>
      <c r="I354" s="38"/>
      <c r="J354" s="38">
        <v>148</v>
      </c>
      <c r="K354" s="23">
        <v>431</v>
      </c>
    </row>
    <row r="355" spans="1:11" ht="16.5" thickBot="1">
      <c r="A355" s="18">
        <f t="shared" si="5"/>
        <v>350</v>
      </c>
      <c r="B355" s="36" t="s">
        <v>990</v>
      </c>
      <c r="C355" s="37" t="s">
        <v>991</v>
      </c>
      <c r="D355" s="37" t="s">
        <v>425</v>
      </c>
      <c r="E355" s="38">
        <v>114</v>
      </c>
      <c r="F355" s="38"/>
      <c r="G355" s="38"/>
      <c r="H355" s="31">
        <v>148</v>
      </c>
      <c r="I355" s="38"/>
      <c r="J355" s="38">
        <v>160</v>
      </c>
      <c r="K355" s="23">
        <v>422</v>
      </c>
    </row>
    <row r="356" spans="1:11" ht="16.5" thickBot="1">
      <c r="A356" s="18">
        <f t="shared" si="5"/>
        <v>351</v>
      </c>
      <c r="B356" s="36" t="s">
        <v>88</v>
      </c>
      <c r="C356" s="37" t="s">
        <v>1489</v>
      </c>
      <c r="D356" s="37" t="s">
        <v>575</v>
      </c>
      <c r="E356" s="38"/>
      <c r="F356" s="38"/>
      <c r="G356" s="38"/>
      <c r="H356" s="31"/>
      <c r="I356" s="38">
        <v>171</v>
      </c>
      <c r="J356" s="38">
        <v>245</v>
      </c>
      <c r="K356" s="23">
        <v>416</v>
      </c>
    </row>
    <row r="357" spans="1:11" ht="16.5" thickBot="1">
      <c r="A357" s="18">
        <f t="shared" si="5"/>
        <v>352</v>
      </c>
      <c r="B357" s="36" t="s">
        <v>97</v>
      </c>
      <c r="C357" s="37" t="s">
        <v>1183</v>
      </c>
      <c r="D357" s="37" t="s">
        <v>763</v>
      </c>
      <c r="E357" s="38"/>
      <c r="F357" s="38"/>
      <c r="G357" s="38"/>
      <c r="H357" s="31"/>
      <c r="I357" s="38">
        <v>220</v>
      </c>
      <c r="J357" s="38">
        <v>194</v>
      </c>
      <c r="K357" s="23">
        <v>414</v>
      </c>
    </row>
    <row r="358" spans="1:11" ht="16.5" thickBot="1">
      <c r="A358" s="18">
        <f t="shared" si="5"/>
        <v>353</v>
      </c>
      <c r="B358" s="36" t="s">
        <v>94</v>
      </c>
      <c r="C358" s="37" t="s">
        <v>999</v>
      </c>
      <c r="D358" s="37" t="s">
        <v>425</v>
      </c>
      <c r="E358" s="38">
        <v>140</v>
      </c>
      <c r="F358" s="38"/>
      <c r="G358" s="38">
        <v>136</v>
      </c>
      <c r="H358" s="31"/>
      <c r="I358" s="38"/>
      <c r="J358" s="38">
        <v>134</v>
      </c>
      <c r="K358" s="23">
        <v>410</v>
      </c>
    </row>
    <row r="359" spans="1:11" ht="16.5" thickBot="1">
      <c r="A359" s="18">
        <f t="shared" si="5"/>
        <v>354</v>
      </c>
      <c r="B359" s="36" t="s">
        <v>530</v>
      </c>
      <c r="C359" s="37" t="s">
        <v>992</v>
      </c>
      <c r="D359" s="37" t="s">
        <v>425</v>
      </c>
      <c r="E359" s="38"/>
      <c r="F359" s="38">
        <v>127</v>
      </c>
      <c r="G359" s="38"/>
      <c r="H359" s="31"/>
      <c r="I359" s="38">
        <v>132</v>
      </c>
      <c r="J359" s="38">
        <v>141</v>
      </c>
      <c r="K359" s="23">
        <v>400</v>
      </c>
    </row>
    <row r="360" spans="1:11" ht="16.5" thickBot="1">
      <c r="A360" s="18">
        <f t="shared" si="5"/>
        <v>355</v>
      </c>
      <c r="B360" s="36" t="s">
        <v>1348</v>
      </c>
      <c r="C360" s="37" t="s">
        <v>126</v>
      </c>
      <c r="D360" s="37" t="s">
        <v>318</v>
      </c>
      <c r="E360" s="38"/>
      <c r="F360" s="38">
        <v>136</v>
      </c>
      <c r="G360" s="38"/>
      <c r="H360" s="31">
        <v>118</v>
      </c>
      <c r="I360" s="38"/>
      <c r="J360" s="38">
        <v>140</v>
      </c>
      <c r="K360" s="23">
        <v>394</v>
      </c>
    </row>
    <row r="361" spans="1:11" ht="16.5" thickBot="1">
      <c r="A361" s="18">
        <f t="shared" si="5"/>
        <v>356</v>
      </c>
      <c r="B361" s="36" t="s">
        <v>1015</v>
      </c>
      <c r="C361" s="37" t="s">
        <v>1373</v>
      </c>
      <c r="D361" s="37" t="s">
        <v>84</v>
      </c>
      <c r="E361" s="38"/>
      <c r="F361" s="38">
        <v>135</v>
      </c>
      <c r="G361" s="38">
        <v>112</v>
      </c>
      <c r="H361" s="31">
        <v>144</v>
      </c>
      <c r="I361" s="38"/>
      <c r="J361" s="38"/>
      <c r="K361" s="23">
        <v>391</v>
      </c>
    </row>
    <row r="362" spans="1:11" ht="16.5" thickBot="1">
      <c r="A362" s="18">
        <f t="shared" si="5"/>
        <v>357</v>
      </c>
      <c r="B362" s="36" t="s">
        <v>929</v>
      </c>
      <c r="C362" s="37" t="s">
        <v>1244</v>
      </c>
      <c r="D362" s="37" t="s">
        <v>626</v>
      </c>
      <c r="E362" s="38"/>
      <c r="F362" s="38"/>
      <c r="G362" s="38"/>
      <c r="H362" s="31"/>
      <c r="I362" s="38">
        <v>231</v>
      </c>
      <c r="J362" s="38">
        <v>159</v>
      </c>
      <c r="K362" s="23">
        <v>390</v>
      </c>
    </row>
    <row r="363" spans="1:11" ht="16.5" thickBot="1">
      <c r="A363" s="18">
        <f t="shared" si="5"/>
        <v>358</v>
      </c>
      <c r="B363" s="36" t="s">
        <v>891</v>
      </c>
      <c r="C363" s="37" t="s">
        <v>892</v>
      </c>
      <c r="D363" s="37" t="s">
        <v>781</v>
      </c>
      <c r="E363" s="38"/>
      <c r="F363" s="38"/>
      <c r="G363" s="38"/>
      <c r="H363" s="31"/>
      <c r="I363" s="38">
        <v>200</v>
      </c>
      <c r="J363" s="38">
        <v>185</v>
      </c>
      <c r="K363" s="23">
        <v>385</v>
      </c>
    </row>
    <row r="364" spans="1:11" ht="16.5" thickBot="1">
      <c r="A364" s="18">
        <f t="shared" si="5"/>
        <v>359</v>
      </c>
      <c r="B364" s="36" t="s">
        <v>1070</v>
      </c>
      <c r="C364" s="37" t="s">
        <v>1071</v>
      </c>
      <c r="D364" s="37" t="s">
        <v>827</v>
      </c>
      <c r="E364" s="38"/>
      <c r="F364" s="38"/>
      <c r="G364" s="38">
        <v>204</v>
      </c>
      <c r="H364" s="31">
        <v>168</v>
      </c>
      <c r="I364" s="38"/>
      <c r="J364" s="38"/>
      <c r="K364" s="23">
        <v>372</v>
      </c>
    </row>
    <row r="365" spans="1:11" ht="16.5" thickBot="1">
      <c r="A365" s="18">
        <f t="shared" si="5"/>
        <v>360</v>
      </c>
      <c r="B365" s="36" t="s">
        <v>984</v>
      </c>
      <c r="C365" s="37" t="s">
        <v>996</v>
      </c>
      <c r="D365" s="37" t="s">
        <v>425</v>
      </c>
      <c r="E365" s="38"/>
      <c r="F365" s="38"/>
      <c r="G365" s="38">
        <v>138</v>
      </c>
      <c r="H365" s="31"/>
      <c r="I365" s="38"/>
      <c r="J365" s="38">
        <v>215</v>
      </c>
      <c r="K365" s="23">
        <v>353</v>
      </c>
    </row>
    <row r="366" spans="1:11" ht="16.5" thickBot="1">
      <c r="A366" s="18">
        <f t="shared" si="5"/>
        <v>361</v>
      </c>
      <c r="B366" s="36" t="s">
        <v>1144</v>
      </c>
      <c r="C366" s="37" t="s">
        <v>1145</v>
      </c>
      <c r="D366" s="37" t="s">
        <v>127</v>
      </c>
      <c r="E366" s="38">
        <v>185</v>
      </c>
      <c r="F366" s="38">
        <v>166</v>
      </c>
      <c r="G366" s="38"/>
      <c r="H366" s="31"/>
      <c r="I366" s="38"/>
      <c r="J366" s="38"/>
      <c r="K366" s="23">
        <v>351</v>
      </c>
    </row>
    <row r="367" spans="1:11" ht="16.5" thickBot="1">
      <c r="A367" s="18">
        <f t="shared" si="5"/>
        <v>362</v>
      </c>
      <c r="B367" s="36" t="s">
        <v>1146</v>
      </c>
      <c r="C367" s="37" t="s">
        <v>1147</v>
      </c>
      <c r="D367" s="37" t="s">
        <v>127</v>
      </c>
      <c r="E367" s="38"/>
      <c r="F367" s="38"/>
      <c r="G367" s="38">
        <v>167</v>
      </c>
      <c r="H367" s="31">
        <v>175</v>
      </c>
      <c r="I367" s="38"/>
      <c r="J367" s="38"/>
      <c r="K367" s="23">
        <v>342</v>
      </c>
    </row>
    <row r="368" spans="1:11" ht="16.5" thickBot="1">
      <c r="A368" s="18">
        <f t="shared" si="5"/>
        <v>363</v>
      </c>
      <c r="B368" s="36" t="s">
        <v>945</v>
      </c>
      <c r="C368" s="37" t="s">
        <v>1021</v>
      </c>
      <c r="D368" s="37" t="s">
        <v>438</v>
      </c>
      <c r="E368" s="38"/>
      <c r="F368" s="38"/>
      <c r="G368" s="38"/>
      <c r="H368" s="31"/>
      <c r="I368" s="38">
        <v>160</v>
      </c>
      <c r="J368" s="38">
        <v>177</v>
      </c>
      <c r="K368" s="23">
        <v>337</v>
      </c>
    </row>
    <row r="369" spans="1:11" ht="16.5" thickBot="1">
      <c r="A369" s="18">
        <f t="shared" si="5"/>
        <v>364</v>
      </c>
      <c r="B369" s="36" t="s">
        <v>1532</v>
      </c>
      <c r="C369" s="37" t="s">
        <v>1533</v>
      </c>
      <c r="D369" s="37" t="s">
        <v>413</v>
      </c>
      <c r="E369" s="38"/>
      <c r="F369" s="38"/>
      <c r="G369" s="38"/>
      <c r="H369" s="31">
        <v>199</v>
      </c>
      <c r="I369" s="38">
        <v>137</v>
      </c>
      <c r="J369" s="38"/>
      <c r="K369" s="23">
        <v>336</v>
      </c>
    </row>
    <row r="370" spans="1:11" ht="16.5" thickBot="1">
      <c r="A370" s="18">
        <f t="shared" si="5"/>
        <v>365</v>
      </c>
      <c r="B370" s="36" t="s">
        <v>1433</v>
      </c>
      <c r="C370" s="37" t="s">
        <v>92</v>
      </c>
      <c r="D370" s="37" t="s">
        <v>729</v>
      </c>
      <c r="E370" s="38">
        <v>177</v>
      </c>
      <c r="F370" s="38">
        <v>156</v>
      </c>
      <c r="G370" s="38"/>
      <c r="H370" s="31"/>
      <c r="I370" s="38"/>
      <c r="J370" s="38"/>
      <c r="K370" s="23">
        <v>333</v>
      </c>
    </row>
    <row r="371" spans="1:11" ht="16.5" thickBot="1">
      <c r="A371" s="18">
        <f t="shared" si="5"/>
        <v>366</v>
      </c>
      <c r="B371" s="36" t="s">
        <v>1326</v>
      </c>
      <c r="C371" s="37" t="s">
        <v>972</v>
      </c>
      <c r="D371" s="37" t="s">
        <v>799</v>
      </c>
      <c r="E371" s="38"/>
      <c r="F371" s="38"/>
      <c r="G371" s="38">
        <v>173</v>
      </c>
      <c r="H371" s="31">
        <v>158</v>
      </c>
      <c r="I371" s="38"/>
      <c r="J371" s="38"/>
      <c r="K371" s="23">
        <v>331</v>
      </c>
    </row>
    <row r="372" spans="1:11" ht="16.5" thickBot="1">
      <c r="A372" s="18">
        <f t="shared" si="5"/>
        <v>367</v>
      </c>
      <c r="B372" s="36" t="s">
        <v>1497</v>
      </c>
      <c r="C372" s="37" t="s">
        <v>1498</v>
      </c>
      <c r="D372" s="37" t="s">
        <v>713</v>
      </c>
      <c r="E372" s="38">
        <v>163</v>
      </c>
      <c r="F372" s="38"/>
      <c r="G372" s="38"/>
      <c r="H372" s="31">
        <v>159</v>
      </c>
      <c r="I372" s="38"/>
      <c r="J372" s="38"/>
      <c r="K372" s="23">
        <v>322</v>
      </c>
    </row>
    <row r="373" spans="1:11" ht="16.5" thickBot="1">
      <c r="A373" s="18">
        <f t="shared" si="5"/>
        <v>368</v>
      </c>
      <c r="B373" s="36" t="s">
        <v>903</v>
      </c>
      <c r="C373" s="37" t="s">
        <v>1223</v>
      </c>
      <c r="D373" s="37" t="s">
        <v>452</v>
      </c>
      <c r="E373" s="38"/>
      <c r="F373" s="38">
        <v>144</v>
      </c>
      <c r="G373" s="38">
        <v>174</v>
      </c>
      <c r="H373" s="31"/>
      <c r="I373" s="38"/>
      <c r="J373" s="38"/>
      <c r="K373" s="23">
        <v>318</v>
      </c>
    </row>
    <row r="374" spans="1:11" ht="16.5" thickBot="1">
      <c r="A374" s="18">
        <f t="shared" si="5"/>
        <v>369</v>
      </c>
      <c r="B374" s="36" t="s">
        <v>1080</v>
      </c>
      <c r="C374" s="37" t="s">
        <v>1386</v>
      </c>
      <c r="D374" s="37" t="s">
        <v>720</v>
      </c>
      <c r="E374" s="38"/>
      <c r="F374" s="38">
        <v>142</v>
      </c>
      <c r="G374" s="38"/>
      <c r="H374" s="31">
        <v>173</v>
      </c>
      <c r="I374" s="38"/>
      <c r="J374" s="38"/>
      <c r="K374" s="23">
        <v>315</v>
      </c>
    </row>
    <row r="375" spans="1:11" ht="16.5" thickBot="1">
      <c r="A375" s="18">
        <f t="shared" si="5"/>
        <v>370</v>
      </c>
      <c r="B375" s="36" t="s">
        <v>1279</v>
      </c>
      <c r="C375" s="37" t="s">
        <v>1280</v>
      </c>
      <c r="D375" s="37" t="s">
        <v>856</v>
      </c>
      <c r="E375" s="38">
        <v>153</v>
      </c>
      <c r="F375" s="38">
        <v>161</v>
      </c>
      <c r="G375" s="38"/>
      <c r="H375" s="31"/>
      <c r="I375" s="38"/>
      <c r="J375" s="38"/>
      <c r="K375" s="23">
        <v>314</v>
      </c>
    </row>
    <row r="376" spans="1:11" ht="16.5" thickBot="1">
      <c r="A376" s="18">
        <f t="shared" si="5"/>
        <v>371</v>
      </c>
      <c r="B376" s="36" t="s">
        <v>1184</v>
      </c>
      <c r="C376" s="37" t="s">
        <v>1185</v>
      </c>
      <c r="D376" s="37" t="s">
        <v>763</v>
      </c>
      <c r="E376" s="38">
        <v>167</v>
      </c>
      <c r="F376" s="38">
        <v>146</v>
      </c>
      <c r="G376" s="38"/>
      <c r="H376" s="31"/>
      <c r="I376" s="38"/>
      <c r="J376" s="38"/>
      <c r="K376" s="23">
        <v>313</v>
      </c>
    </row>
    <row r="377" spans="1:11" ht="16.5" thickBot="1">
      <c r="A377" s="18">
        <f t="shared" si="5"/>
        <v>372</v>
      </c>
      <c r="B377" s="36" t="s">
        <v>893</v>
      </c>
      <c r="C377" s="37" t="s">
        <v>1075</v>
      </c>
      <c r="D377" s="37" t="s">
        <v>479</v>
      </c>
      <c r="E377" s="38">
        <v>168</v>
      </c>
      <c r="F377" s="38">
        <v>144</v>
      </c>
      <c r="G377" s="38"/>
      <c r="H377" s="31"/>
      <c r="I377" s="38"/>
      <c r="J377" s="38"/>
      <c r="K377" s="23">
        <v>312</v>
      </c>
    </row>
    <row r="378" spans="1:11" ht="16.5" thickBot="1">
      <c r="A378" s="18">
        <f t="shared" si="5"/>
        <v>373</v>
      </c>
      <c r="B378" s="36" t="s">
        <v>1128</v>
      </c>
      <c r="C378" s="37" t="s">
        <v>1129</v>
      </c>
      <c r="D378" s="37" t="s">
        <v>790</v>
      </c>
      <c r="E378" s="38"/>
      <c r="F378" s="38"/>
      <c r="G378" s="38">
        <v>173</v>
      </c>
      <c r="H378" s="31">
        <v>138</v>
      </c>
      <c r="I378" s="38"/>
      <c r="J378" s="38"/>
      <c r="K378" s="23">
        <v>311</v>
      </c>
    </row>
    <row r="379" spans="1:11" ht="16.5" thickBot="1">
      <c r="A379" s="18">
        <f t="shared" si="5"/>
        <v>374</v>
      </c>
      <c r="B379" s="36" t="s">
        <v>1156</v>
      </c>
      <c r="C379" s="37" t="s">
        <v>1341</v>
      </c>
      <c r="D379" s="37" t="s">
        <v>1339</v>
      </c>
      <c r="E379" s="38">
        <v>179</v>
      </c>
      <c r="F379" s="38">
        <v>129</v>
      </c>
      <c r="G379" s="38"/>
      <c r="H379" s="31"/>
      <c r="I379" s="38"/>
      <c r="J379" s="38"/>
      <c r="K379" s="23">
        <v>308</v>
      </c>
    </row>
    <row r="380" spans="1:11" ht="16.5" thickBot="1">
      <c r="A380" s="18">
        <f t="shared" si="5"/>
        <v>375</v>
      </c>
      <c r="B380" s="36" t="s">
        <v>1138</v>
      </c>
      <c r="C380" s="37" t="s">
        <v>1139</v>
      </c>
      <c r="D380" s="37" t="s">
        <v>127</v>
      </c>
      <c r="E380" s="38"/>
      <c r="F380" s="38"/>
      <c r="G380" s="38"/>
      <c r="H380" s="31">
        <v>161</v>
      </c>
      <c r="I380" s="38">
        <v>145</v>
      </c>
      <c r="J380" s="38"/>
      <c r="K380" s="23">
        <v>306</v>
      </c>
    </row>
    <row r="381" spans="1:11" ht="16.5" thickBot="1">
      <c r="A381" s="18">
        <f t="shared" si="5"/>
        <v>376</v>
      </c>
      <c r="B381" s="36" t="s">
        <v>202</v>
      </c>
      <c r="C381" s="37" t="s">
        <v>330</v>
      </c>
      <c r="D381" s="37" t="s">
        <v>154</v>
      </c>
      <c r="E381" s="38">
        <v>170</v>
      </c>
      <c r="F381" s="38">
        <v>136</v>
      </c>
      <c r="G381" s="38"/>
      <c r="H381" s="31"/>
      <c r="I381" s="38"/>
      <c r="J381" s="38"/>
      <c r="K381" s="23">
        <v>306</v>
      </c>
    </row>
    <row r="382" spans="1:11" ht="16.5" thickBot="1">
      <c r="A382" s="18">
        <f t="shared" si="5"/>
        <v>377</v>
      </c>
      <c r="B382" s="36" t="s">
        <v>1367</v>
      </c>
      <c r="C382" s="37" t="s">
        <v>701</v>
      </c>
      <c r="D382" s="37" t="s">
        <v>1359</v>
      </c>
      <c r="E382" s="38"/>
      <c r="F382" s="38"/>
      <c r="G382" s="38"/>
      <c r="H382" s="31">
        <v>161</v>
      </c>
      <c r="I382" s="38">
        <v>143</v>
      </c>
      <c r="J382" s="38"/>
      <c r="K382" s="23">
        <v>304</v>
      </c>
    </row>
    <row r="383" spans="1:11" ht="16.5" thickBot="1">
      <c r="A383" s="18">
        <f t="shared" si="5"/>
        <v>378</v>
      </c>
      <c r="B383" s="36" t="s">
        <v>1304</v>
      </c>
      <c r="C383" s="37" t="s">
        <v>925</v>
      </c>
      <c r="D383" s="37" t="s">
        <v>617</v>
      </c>
      <c r="E383" s="38">
        <v>156</v>
      </c>
      <c r="F383" s="38">
        <v>144</v>
      </c>
      <c r="G383" s="38"/>
      <c r="H383" s="31"/>
      <c r="I383" s="38"/>
      <c r="J383" s="38"/>
      <c r="K383" s="23">
        <v>300</v>
      </c>
    </row>
    <row r="384" spans="1:11" ht="16.5" thickBot="1">
      <c r="A384" s="18">
        <f t="shared" si="5"/>
        <v>379</v>
      </c>
      <c r="B384" s="36" t="s">
        <v>1009</v>
      </c>
      <c r="C384" s="37" t="s">
        <v>1010</v>
      </c>
      <c r="D384" s="37" t="s">
        <v>262</v>
      </c>
      <c r="E384" s="38"/>
      <c r="F384" s="38">
        <v>115</v>
      </c>
      <c r="G384" s="38"/>
      <c r="H384" s="31">
        <v>87</v>
      </c>
      <c r="I384" s="38"/>
      <c r="J384" s="38">
        <v>96</v>
      </c>
      <c r="K384" s="23">
        <v>298</v>
      </c>
    </row>
    <row r="385" spans="1:11" ht="16.5" thickBot="1">
      <c r="A385" s="18">
        <f t="shared" si="5"/>
        <v>380</v>
      </c>
      <c r="B385" s="36" t="s">
        <v>1320</v>
      </c>
      <c r="C385" s="37" t="s">
        <v>1321</v>
      </c>
      <c r="D385" s="37" t="s">
        <v>799</v>
      </c>
      <c r="E385" s="38"/>
      <c r="F385" s="38">
        <v>137</v>
      </c>
      <c r="G385" s="38">
        <v>159</v>
      </c>
      <c r="H385" s="31"/>
      <c r="I385" s="38"/>
      <c r="J385" s="38"/>
      <c r="K385" s="23">
        <v>296</v>
      </c>
    </row>
    <row r="386" spans="1:11" ht="16.5" thickBot="1">
      <c r="A386" s="18">
        <f t="shared" si="5"/>
        <v>381</v>
      </c>
      <c r="B386" s="36" t="s">
        <v>1203</v>
      </c>
      <c r="C386" s="37" t="s">
        <v>1493</v>
      </c>
      <c r="D386" s="37" t="s">
        <v>713</v>
      </c>
      <c r="E386" s="38"/>
      <c r="F386" s="38">
        <v>143</v>
      </c>
      <c r="G386" s="38"/>
      <c r="H386" s="31"/>
      <c r="I386" s="38">
        <v>151</v>
      </c>
      <c r="J386" s="38"/>
      <c r="K386" s="23">
        <v>294</v>
      </c>
    </row>
    <row r="387" spans="1:11" ht="16.5" thickBot="1">
      <c r="A387" s="18">
        <f t="shared" si="5"/>
        <v>382</v>
      </c>
      <c r="B387" s="36" t="s">
        <v>1172</v>
      </c>
      <c r="C387" s="37" t="s">
        <v>1305</v>
      </c>
      <c r="D387" s="37" t="s">
        <v>617</v>
      </c>
      <c r="E387" s="38"/>
      <c r="F387" s="38"/>
      <c r="G387" s="38">
        <v>160</v>
      </c>
      <c r="H387" s="31">
        <v>126</v>
      </c>
      <c r="I387" s="38"/>
      <c r="J387" s="38"/>
      <c r="K387" s="23">
        <v>286</v>
      </c>
    </row>
    <row r="388" spans="1:11" ht="16.5" thickBot="1">
      <c r="A388" s="18">
        <f t="shared" si="5"/>
        <v>383</v>
      </c>
      <c r="B388" s="36" t="s">
        <v>957</v>
      </c>
      <c r="C388" s="37" t="s">
        <v>958</v>
      </c>
      <c r="D388" s="37" t="s">
        <v>295</v>
      </c>
      <c r="E388" s="38"/>
      <c r="F388" s="38"/>
      <c r="G388" s="38"/>
      <c r="H388" s="31">
        <v>153</v>
      </c>
      <c r="I388" s="38">
        <v>129</v>
      </c>
      <c r="J388" s="38"/>
      <c r="K388" s="23">
        <v>282</v>
      </c>
    </row>
    <row r="389" spans="1:11" ht="16.5" thickBot="1">
      <c r="A389" s="18">
        <f t="shared" si="5"/>
        <v>384</v>
      </c>
      <c r="B389" s="36" t="s">
        <v>905</v>
      </c>
      <c r="C389" s="37" t="s">
        <v>906</v>
      </c>
      <c r="D389" s="37" t="s">
        <v>781</v>
      </c>
      <c r="E389" s="38">
        <v>128</v>
      </c>
      <c r="F389" s="38">
        <v>152</v>
      </c>
      <c r="G389" s="38"/>
      <c r="H389" s="31"/>
      <c r="I389" s="38"/>
      <c r="J389" s="38"/>
      <c r="K389" s="23">
        <v>280</v>
      </c>
    </row>
    <row r="390" spans="1:11" ht="16.5" thickBot="1">
      <c r="A390" s="18">
        <f t="shared" si="5"/>
        <v>385</v>
      </c>
      <c r="B390" s="36" t="s">
        <v>1011</v>
      </c>
      <c r="C390" s="37" t="s">
        <v>1012</v>
      </c>
      <c r="D390" s="37" t="s">
        <v>262</v>
      </c>
      <c r="E390" s="38">
        <v>98</v>
      </c>
      <c r="F390" s="38"/>
      <c r="G390" s="38">
        <v>77</v>
      </c>
      <c r="H390" s="31"/>
      <c r="I390" s="38">
        <v>103</v>
      </c>
      <c r="J390" s="38"/>
      <c r="K390" s="23">
        <v>278</v>
      </c>
    </row>
    <row r="391" spans="1:11" ht="16.5" thickBot="1">
      <c r="A391" s="18">
        <f t="shared" si="5"/>
        <v>386</v>
      </c>
      <c r="B391" s="36" t="s">
        <v>893</v>
      </c>
      <c r="C391" s="37" t="s">
        <v>84</v>
      </c>
      <c r="D391" s="37" t="s">
        <v>514</v>
      </c>
      <c r="E391" s="38"/>
      <c r="F391" s="38"/>
      <c r="G391" s="38">
        <v>125</v>
      </c>
      <c r="H391" s="31"/>
      <c r="I391" s="38"/>
      <c r="J391" s="38">
        <v>147</v>
      </c>
      <c r="K391" s="23">
        <v>272</v>
      </c>
    </row>
    <row r="392" spans="1:11" ht="16.5" thickBot="1">
      <c r="A392" s="18">
        <f t="shared" ref="A392:A455" si="6">A391+1</f>
        <v>387</v>
      </c>
      <c r="B392" s="36" t="s">
        <v>1403</v>
      </c>
      <c r="C392" s="37" t="s">
        <v>1404</v>
      </c>
      <c r="D392" s="37" t="s">
        <v>490</v>
      </c>
      <c r="E392" s="38"/>
      <c r="F392" s="38"/>
      <c r="G392" s="38">
        <v>152</v>
      </c>
      <c r="H392" s="31"/>
      <c r="I392" s="38"/>
      <c r="J392" s="38">
        <v>112</v>
      </c>
      <c r="K392" s="23">
        <v>264</v>
      </c>
    </row>
    <row r="393" spans="1:11" ht="16.5" thickBot="1">
      <c r="A393" s="18">
        <f t="shared" si="6"/>
        <v>388</v>
      </c>
      <c r="B393" s="36" t="s">
        <v>924</v>
      </c>
      <c r="C393" s="37" t="s">
        <v>951</v>
      </c>
      <c r="D393" s="37" t="s">
        <v>942</v>
      </c>
      <c r="E393" s="38"/>
      <c r="F393" s="38">
        <v>133</v>
      </c>
      <c r="G393" s="38"/>
      <c r="H393" s="31">
        <v>120</v>
      </c>
      <c r="I393" s="38"/>
      <c r="J393" s="38"/>
      <c r="K393" s="23">
        <v>253</v>
      </c>
    </row>
    <row r="394" spans="1:11" ht="16.5" thickBot="1">
      <c r="A394" s="18">
        <f t="shared" si="6"/>
        <v>389</v>
      </c>
      <c r="B394" s="36" t="s">
        <v>1084</v>
      </c>
      <c r="C394" s="37" t="s">
        <v>1089</v>
      </c>
      <c r="D394" s="37" t="s">
        <v>536</v>
      </c>
      <c r="E394" s="38"/>
      <c r="F394" s="38"/>
      <c r="G394" s="38"/>
      <c r="H394" s="31"/>
      <c r="I394" s="38">
        <v>127</v>
      </c>
      <c r="J394" s="38">
        <v>116</v>
      </c>
      <c r="K394" s="23">
        <v>243</v>
      </c>
    </row>
    <row r="395" spans="1:11" ht="16.5" thickBot="1">
      <c r="A395" s="18">
        <f t="shared" si="6"/>
        <v>390</v>
      </c>
      <c r="B395" s="36" t="s">
        <v>97</v>
      </c>
      <c r="C395" s="37" t="s">
        <v>324</v>
      </c>
      <c r="D395" s="37" t="s">
        <v>44</v>
      </c>
      <c r="E395" s="38"/>
      <c r="F395" s="38"/>
      <c r="G395" s="38"/>
      <c r="H395" s="31">
        <v>111</v>
      </c>
      <c r="I395" s="38">
        <v>121</v>
      </c>
      <c r="J395" s="38"/>
      <c r="K395" s="23">
        <v>232</v>
      </c>
    </row>
    <row r="396" spans="1:11" ht="16.5" thickBot="1">
      <c r="A396" s="18">
        <f t="shared" si="6"/>
        <v>391</v>
      </c>
      <c r="B396" s="36" t="s">
        <v>97</v>
      </c>
      <c r="C396" s="37" t="s">
        <v>1286</v>
      </c>
      <c r="D396" s="37" t="s">
        <v>654</v>
      </c>
      <c r="E396" s="38"/>
      <c r="F396" s="38"/>
      <c r="G396" s="38"/>
      <c r="H396" s="31"/>
      <c r="I396" s="38"/>
      <c r="J396" s="38">
        <v>196</v>
      </c>
      <c r="K396" s="23">
        <v>196</v>
      </c>
    </row>
    <row r="397" spans="1:11" ht="16.5" thickBot="1">
      <c r="A397" s="18">
        <f t="shared" si="6"/>
        <v>392</v>
      </c>
      <c r="B397" s="36" t="s">
        <v>1172</v>
      </c>
      <c r="C397" s="37" t="s">
        <v>1331</v>
      </c>
      <c r="D397" s="37" t="s">
        <v>799</v>
      </c>
      <c r="E397" s="38"/>
      <c r="F397" s="38"/>
      <c r="G397" s="38"/>
      <c r="H397" s="31"/>
      <c r="I397" s="38"/>
      <c r="J397" s="38">
        <v>180</v>
      </c>
      <c r="K397" s="23">
        <v>180</v>
      </c>
    </row>
    <row r="398" spans="1:11" ht="16.5" thickBot="1">
      <c r="A398" s="18">
        <f t="shared" si="6"/>
        <v>393</v>
      </c>
      <c r="B398" s="36" t="s">
        <v>969</v>
      </c>
      <c r="C398" s="37" t="s">
        <v>970</v>
      </c>
      <c r="D398" s="37" t="s">
        <v>167</v>
      </c>
      <c r="E398" s="38"/>
      <c r="F398" s="38"/>
      <c r="G398" s="38"/>
      <c r="H398" s="31"/>
      <c r="I398" s="38"/>
      <c r="J398" s="38">
        <v>179</v>
      </c>
      <c r="K398" s="23">
        <v>179</v>
      </c>
    </row>
    <row r="399" spans="1:11" ht="16.5" thickBot="1">
      <c r="A399" s="18">
        <f t="shared" si="6"/>
        <v>394</v>
      </c>
      <c r="B399" s="36" t="s">
        <v>193</v>
      </c>
      <c r="C399" s="37" t="s">
        <v>1060</v>
      </c>
      <c r="D399" s="37" t="s">
        <v>547</v>
      </c>
      <c r="E399" s="38"/>
      <c r="F399" s="38"/>
      <c r="G399" s="38"/>
      <c r="H399" s="31"/>
      <c r="I399" s="38"/>
      <c r="J399" s="38">
        <v>175</v>
      </c>
      <c r="K399" s="23">
        <v>175</v>
      </c>
    </row>
    <row r="400" spans="1:11" ht="16.5" thickBot="1">
      <c r="A400" s="18">
        <f t="shared" si="6"/>
        <v>395</v>
      </c>
      <c r="B400" s="36" t="s">
        <v>394</v>
      </c>
      <c r="C400" s="37" t="s">
        <v>911</v>
      </c>
      <c r="D400" s="37" t="s">
        <v>98</v>
      </c>
      <c r="E400" s="38"/>
      <c r="F400" s="38"/>
      <c r="G400" s="38"/>
      <c r="H400" s="31"/>
      <c r="I400" s="38"/>
      <c r="J400" s="38">
        <v>172</v>
      </c>
      <c r="K400" s="23">
        <v>172</v>
      </c>
    </row>
    <row r="401" spans="1:11" ht="16.5" thickBot="1">
      <c r="A401" s="18">
        <f t="shared" si="6"/>
        <v>396</v>
      </c>
      <c r="B401" s="36" t="s">
        <v>1050</v>
      </c>
      <c r="C401" s="37" t="s">
        <v>1051</v>
      </c>
      <c r="D401" s="37" t="s">
        <v>205</v>
      </c>
      <c r="E401" s="38"/>
      <c r="F401" s="38"/>
      <c r="G401" s="38"/>
      <c r="H401" s="31"/>
      <c r="I401" s="38"/>
      <c r="J401" s="38">
        <v>170</v>
      </c>
      <c r="K401" s="23">
        <v>170</v>
      </c>
    </row>
    <row r="402" spans="1:11" ht="16.5" thickBot="1">
      <c r="A402" s="18">
        <f t="shared" si="6"/>
        <v>397</v>
      </c>
      <c r="B402" s="36" t="s">
        <v>1394</v>
      </c>
      <c r="C402" s="37" t="s">
        <v>1395</v>
      </c>
      <c r="D402" s="37" t="s">
        <v>720</v>
      </c>
      <c r="E402" s="38">
        <v>170</v>
      </c>
      <c r="F402" s="38"/>
      <c r="G402" s="38"/>
      <c r="H402" s="31"/>
      <c r="I402" s="38"/>
      <c r="J402" s="38"/>
      <c r="K402" s="23">
        <v>170</v>
      </c>
    </row>
    <row r="403" spans="1:11" ht="16.5" thickBot="1">
      <c r="A403" s="18">
        <f t="shared" si="6"/>
        <v>398</v>
      </c>
      <c r="B403" s="36" t="s">
        <v>1218</v>
      </c>
      <c r="C403" s="37" t="s">
        <v>1219</v>
      </c>
      <c r="D403" s="37" t="s">
        <v>452</v>
      </c>
      <c r="E403" s="38"/>
      <c r="F403" s="38">
        <v>168</v>
      </c>
      <c r="G403" s="38"/>
      <c r="H403" s="31"/>
      <c r="I403" s="38"/>
      <c r="J403" s="38"/>
      <c r="K403" s="23">
        <v>168</v>
      </c>
    </row>
    <row r="404" spans="1:11" ht="16.5" thickBot="1">
      <c r="A404" s="18">
        <f t="shared" si="6"/>
        <v>399</v>
      </c>
      <c r="B404" s="36" t="s">
        <v>400</v>
      </c>
      <c r="C404" s="37" t="s">
        <v>1088</v>
      </c>
      <c r="D404" s="37" t="s">
        <v>479</v>
      </c>
      <c r="E404" s="38"/>
      <c r="F404" s="38"/>
      <c r="G404" s="38"/>
      <c r="H404" s="31">
        <v>162</v>
      </c>
      <c r="I404" s="38"/>
      <c r="J404" s="38"/>
      <c r="K404" s="23">
        <v>162</v>
      </c>
    </row>
    <row r="405" spans="1:11" ht="16.5" thickBot="1">
      <c r="A405" s="18">
        <f t="shared" si="6"/>
        <v>400</v>
      </c>
      <c r="B405" s="36" t="s">
        <v>1078</v>
      </c>
      <c r="C405" s="37" t="s">
        <v>1079</v>
      </c>
      <c r="D405" s="37" t="s">
        <v>479</v>
      </c>
      <c r="E405" s="38"/>
      <c r="F405" s="38"/>
      <c r="G405" s="38"/>
      <c r="H405" s="31"/>
      <c r="I405" s="38">
        <v>159</v>
      </c>
      <c r="J405" s="38"/>
      <c r="K405" s="23">
        <v>159</v>
      </c>
    </row>
    <row r="406" spans="1:11" ht="16.5" thickBot="1">
      <c r="A406" s="18">
        <f t="shared" si="6"/>
        <v>401</v>
      </c>
      <c r="B406" s="36" t="s">
        <v>1310</v>
      </c>
      <c r="C406" s="37" t="s">
        <v>934</v>
      </c>
      <c r="D406" s="37" t="s">
        <v>1306</v>
      </c>
      <c r="E406" s="38"/>
      <c r="F406" s="38"/>
      <c r="G406" s="38">
        <v>156</v>
      </c>
      <c r="H406" s="31"/>
      <c r="I406" s="38"/>
      <c r="J406" s="38"/>
      <c r="K406" s="23">
        <v>156</v>
      </c>
    </row>
    <row r="407" spans="1:11" ht="16.5" thickBot="1">
      <c r="A407" s="18">
        <f t="shared" si="6"/>
        <v>402</v>
      </c>
      <c r="B407" s="36" t="s">
        <v>128</v>
      </c>
      <c r="C407" s="37" t="s">
        <v>162</v>
      </c>
      <c r="D407" s="37" t="s">
        <v>413</v>
      </c>
      <c r="E407" s="38"/>
      <c r="F407" s="38"/>
      <c r="G407" s="38"/>
      <c r="H407" s="31">
        <v>155</v>
      </c>
      <c r="I407" s="38"/>
      <c r="J407" s="38"/>
      <c r="K407" s="23">
        <v>155</v>
      </c>
    </row>
    <row r="408" spans="1:11" ht="16.5" thickBot="1">
      <c r="A408" s="18">
        <f t="shared" si="6"/>
        <v>403</v>
      </c>
      <c r="B408" s="36" t="s">
        <v>903</v>
      </c>
      <c r="C408" s="37" t="s">
        <v>1488</v>
      </c>
      <c r="D408" s="37" t="s">
        <v>575</v>
      </c>
      <c r="E408" s="38">
        <v>154</v>
      </c>
      <c r="F408" s="38"/>
      <c r="G408" s="38"/>
      <c r="H408" s="31"/>
      <c r="I408" s="38"/>
      <c r="J408" s="38"/>
      <c r="K408" s="23">
        <v>154</v>
      </c>
    </row>
    <row r="409" spans="1:11" ht="16.5" thickBot="1">
      <c r="A409" s="18">
        <f t="shared" si="6"/>
        <v>404</v>
      </c>
      <c r="B409" s="36" t="s">
        <v>918</v>
      </c>
      <c r="C409" s="37" t="s">
        <v>919</v>
      </c>
      <c r="D409" s="37" t="s">
        <v>98</v>
      </c>
      <c r="E409" s="38"/>
      <c r="F409" s="38"/>
      <c r="G409" s="38"/>
      <c r="H409" s="31"/>
      <c r="I409" s="38"/>
      <c r="J409" s="38">
        <v>150</v>
      </c>
      <c r="K409" s="23">
        <v>150</v>
      </c>
    </row>
    <row r="410" spans="1:11" ht="16.5" thickBot="1">
      <c r="A410" s="18">
        <f t="shared" si="6"/>
        <v>405</v>
      </c>
      <c r="B410" s="36" t="s">
        <v>530</v>
      </c>
      <c r="C410" s="37" t="s">
        <v>1528</v>
      </c>
      <c r="D410" s="37" t="s">
        <v>413</v>
      </c>
      <c r="E410" s="38"/>
      <c r="F410" s="38"/>
      <c r="G410" s="38"/>
      <c r="H410" s="31">
        <v>146</v>
      </c>
      <c r="I410" s="38"/>
      <c r="J410" s="38"/>
      <c r="K410" s="23">
        <v>146</v>
      </c>
    </row>
    <row r="411" spans="1:11" ht="16.5" thickBot="1">
      <c r="A411" s="18">
        <f t="shared" si="6"/>
        <v>406</v>
      </c>
      <c r="B411" s="36" t="s">
        <v>1084</v>
      </c>
      <c r="C411" s="37" t="s">
        <v>1387</v>
      </c>
      <c r="D411" s="37" t="s">
        <v>720</v>
      </c>
      <c r="E411" s="38"/>
      <c r="F411" s="38"/>
      <c r="G411" s="38">
        <v>141</v>
      </c>
      <c r="H411" s="31"/>
      <c r="I411" s="38"/>
      <c r="J411" s="38"/>
      <c r="K411" s="23">
        <v>141</v>
      </c>
    </row>
    <row r="412" spans="1:11" ht="16.5" thickBot="1">
      <c r="A412" s="18">
        <f t="shared" si="6"/>
        <v>407</v>
      </c>
      <c r="B412" s="36" t="s">
        <v>1423</v>
      </c>
      <c r="C412" s="37" t="s">
        <v>1424</v>
      </c>
      <c r="D412" s="37" t="s">
        <v>27</v>
      </c>
      <c r="E412" s="38"/>
      <c r="F412" s="38"/>
      <c r="G412" s="38"/>
      <c r="H412" s="31"/>
      <c r="I412" s="38"/>
      <c r="J412" s="38">
        <v>141</v>
      </c>
      <c r="K412" s="23">
        <v>141</v>
      </c>
    </row>
    <row r="413" spans="1:11" ht="16.5" thickBot="1">
      <c r="A413" s="18">
        <f t="shared" si="6"/>
        <v>408</v>
      </c>
      <c r="B413" s="36" t="s">
        <v>1047</v>
      </c>
      <c r="C413" s="37" t="s">
        <v>330</v>
      </c>
      <c r="D413" s="37" t="s">
        <v>205</v>
      </c>
      <c r="E413" s="38"/>
      <c r="F413" s="38"/>
      <c r="G413" s="38"/>
      <c r="H413" s="31"/>
      <c r="I413" s="38">
        <v>135</v>
      </c>
      <c r="J413" s="38"/>
      <c r="K413" s="23">
        <v>135</v>
      </c>
    </row>
    <row r="414" spans="1:11" ht="16.5" thickBot="1">
      <c r="A414" s="18">
        <f t="shared" si="6"/>
        <v>409</v>
      </c>
      <c r="B414" s="36" t="s">
        <v>1231</v>
      </c>
      <c r="C414" s="37" t="s">
        <v>1232</v>
      </c>
      <c r="D414" s="37" t="s">
        <v>1228</v>
      </c>
      <c r="E414" s="38"/>
      <c r="F414" s="38"/>
      <c r="G414" s="38"/>
      <c r="H414" s="31"/>
      <c r="I414" s="38">
        <v>134</v>
      </c>
      <c r="J414" s="38"/>
      <c r="K414" s="23">
        <v>134</v>
      </c>
    </row>
    <row r="415" spans="1:11" ht="16.5" thickBot="1">
      <c r="A415" s="18">
        <f t="shared" si="6"/>
        <v>410</v>
      </c>
      <c r="B415" s="36" t="s">
        <v>976</v>
      </c>
      <c r="C415" s="37" t="s">
        <v>977</v>
      </c>
      <c r="D415" s="37" t="s">
        <v>281</v>
      </c>
      <c r="E415" s="38"/>
      <c r="F415" s="38"/>
      <c r="G415" s="38">
        <v>127</v>
      </c>
      <c r="H415" s="31"/>
      <c r="I415" s="38"/>
      <c r="J415" s="38"/>
      <c r="K415" s="23">
        <v>127</v>
      </c>
    </row>
    <row r="416" spans="1:11" ht="16.5" thickBot="1">
      <c r="A416" s="18">
        <f t="shared" si="6"/>
        <v>411</v>
      </c>
      <c r="B416" s="36" t="s">
        <v>378</v>
      </c>
      <c r="C416" s="37" t="s">
        <v>1209</v>
      </c>
      <c r="D416" s="37" t="s">
        <v>1199</v>
      </c>
      <c r="E416" s="38"/>
      <c r="F416" s="38"/>
      <c r="G416" s="38">
        <v>119</v>
      </c>
      <c r="H416" s="31"/>
      <c r="I416" s="38"/>
      <c r="J416" s="38"/>
      <c r="K416" s="23">
        <v>119</v>
      </c>
    </row>
    <row r="417" spans="1:11" ht="16.5" thickBot="1">
      <c r="A417" s="18">
        <f t="shared" si="6"/>
        <v>412</v>
      </c>
      <c r="B417" s="36" t="s">
        <v>901</v>
      </c>
      <c r="C417" s="37" t="s">
        <v>1419</v>
      </c>
      <c r="D417" s="37" t="s">
        <v>1413</v>
      </c>
      <c r="E417" s="38"/>
      <c r="F417" s="38"/>
      <c r="G417" s="38"/>
      <c r="H417" s="31">
        <v>119</v>
      </c>
      <c r="I417" s="38"/>
      <c r="J417" s="38"/>
      <c r="K417" s="23">
        <v>119</v>
      </c>
    </row>
    <row r="418" spans="1:11" ht="16.5" thickBot="1">
      <c r="A418" s="18">
        <f t="shared" si="6"/>
        <v>413</v>
      </c>
      <c r="B418" s="36" t="s">
        <v>1375</v>
      </c>
      <c r="C418" s="37" t="s">
        <v>1376</v>
      </c>
      <c r="D418" s="37" t="s">
        <v>84</v>
      </c>
      <c r="E418" s="38"/>
      <c r="F418" s="38"/>
      <c r="G418" s="38"/>
      <c r="H418" s="31"/>
      <c r="I418" s="38">
        <v>118</v>
      </c>
      <c r="J418" s="38"/>
      <c r="K418" s="23">
        <v>118</v>
      </c>
    </row>
    <row r="419" spans="1:11" ht="16.5" thickBot="1">
      <c r="A419" s="18">
        <f t="shared" si="6"/>
        <v>414</v>
      </c>
      <c r="B419" s="36" t="s">
        <v>400</v>
      </c>
      <c r="C419" s="37" t="s">
        <v>1524</v>
      </c>
      <c r="D419" s="37" t="s">
        <v>1518</v>
      </c>
      <c r="E419" s="38"/>
      <c r="F419" s="38">
        <v>116</v>
      </c>
      <c r="G419" s="38"/>
      <c r="H419" s="31"/>
      <c r="I419" s="38"/>
      <c r="J419" s="38"/>
      <c r="K419" s="23">
        <v>116</v>
      </c>
    </row>
    <row r="420" spans="1:11" ht="16.5" thickBot="1">
      <c r="A420" s="18">
        <f t="shared" si="6"/>
        <v>415</v>
      </c>
      <c r="B420" s="36" t="s">
        <v>97</v>
      </c>
      <c r="C420" s="37" t="s">
        <v>766</v>
      </c>
      <c r="D420" s="37" t="s">
        <v>363</v>
      </c>
      <c r="E420" s="38"/>
      <c r="F420" s="38">
        <v>108</v>
      </c>
      <c r="G420" s="38"/>
      <c r="H420" s="31"/>
      <c r="I420" s="38"/>
      <c r="J420" s="38"/>
      <c r="K420" s="23">
        <v>108</v>
      </c>
    </row>
    <row r="421" spans="1:11" ht="16.5" thickBot="1">
      <c r="A421" s="18">
        <f t="shared" si="6"/>
        <v>416</v>
      </c>
      <c r="B421" s="36" t="s">
        <v>1368</v>
      </c>
      <c r="C421" s="37" t="s">
        <v>1369</v>
      </c>
      <c r="D421" s="37" t="s">
        <v>1359</v>
      </c>
      <c r="E421" s="38"/>
      <c r="F421" s="38"/>
      <c r="G421" s="38">
        <v>105</v>
      </c>
      <c r="H421" s="31"/>
      <c r="I421" s="38"/>
      <c r="J421" s="38"/>
      <c r="K421" s="23">
        <v>105</v>
      </c>
    </row>
    <row r="422" spans="1:11" ht="16.5" thickBot="1">
      <c r="A422" s="18">
        <f t="shared" si="6"/>
        <v>417</v>
      </c>
      <c r="B422" s="36" t="s">
        <v>924</v>
      </c>
      <c r="C422" s="37" t="s">
        <v>48</v>
      </c>
      <c r="D422" s="37" t="s">
        <v>180</v>
      </c>
      <c r="E422" s="38"/>
      <c r="F422" s="38"/>
      <c r="G422" s="38"/>
      <c r="H422" s="31">
        <v>97</v>
      </c>
      <c r="I422" s="38"/>
      <c r="J422" s="38"/>
      <c r="K422" s="23">
        <v>97</v>
      </c>
    </row>
    <row r="423" spans="1:11" ht="16.5" thickBot="1">
      <c r="A423" s="18">
        <f t="shared" si="6"/>
        <v>418</v>
      </c>
      <c r="B423" s="36" t="s">
        <v>1111</v>
      </c>
      <c r="C423" s="37" t="s">
        <v>1112</v>
      </c>
      <c r="D423" s="37" t="s">
        <v>636</v>
      </c>
      <c r="E423" s="38">
        <v>93</v>
      </c>
      <c r="F423" s="38">
        <v>0</v>
      </c>
      <c r="G423" s="38">
        <v>0</v>
      </c>
      <c r="H423" s="31">
        <v>0</v>
      </c>
      <c r="I423" s="38">
        <v>0</v>
      </c>
      <c r="J423" s="38">
        <v>0</v>
      </c>
      <c r="K423" s="23">
        <v>93</v>
      </c>
    </row>
    <row r="424" spans="1:11" ht="16.5" thickBot="1">
      <c r="A424" s="18">
        <f t="shared" si="6"/>
        <v>419</v>
      </c>
      <c r="B424" s="36" t="s">
        <v>901</v>
      </c>
      <c r="C424" s="37" t="s">
        <v>902</v>
      </c>
      <c r="D424" s="37" t="s">
        <v>781</v>
      </c>
      <c r="E424" s="38"/>
      <c r="F424" s="38"/>
      <c r="G424" s="38"/>
      <c r="H424" s="31"/>
      <c r="I424" s="38"/>
      <c r="J424" s="38"/>
      <c r="K424" s="23">
        <v>0</v>
      </c>
    </row>
    <row r="425" spans="1:11" ht="16.5" thickBot="1">
      <c r="A425" s="18">
        <f t="shared" si="6"/>
        <v>420</v>
      </c>
      <c r="B425" s="36"/>
      <c r="C425" s="37"/>
      <c r="D425" s="37" t="s">
        <v>751</v>
      </c>
      <c r="E425" s="38"/>
      <c r="F425" s="38"/>
      <c r="G425" s="38"/>
      <c r="H425" s="31"/>
      <c r="I425" s="38"/>
      <c r="J425" s="38"/>
      <c r="K425" s="23">
        <v>0</v>
      </c>
    </row>
    <row r="426" spans="1:11" ht="16.5" thickBot="1">
      <c r="A426" s="18">
        <f t="shared" si="6"/>
        <v>421</v>
      </c>
      <c r="B426" s="36" t="s">
        <v>937</v>
      </c>
      <c r="C426" s="37" t="s">
        <v>938</v>
      </c>
      <c r="D426" s="37" t="s">
        <v>932</v>
      </c>
      <c r="E426" s="38"/>
      <c r="F426" s="38"/>
      <c r="G426" s="38"/>
      <c r="H426" s="31"/>
      <c r="I426" s="38"/>
      <c r="J426" s="38"/>
      <c r="K426" s="23">
        <v>0</v>
      </c>
    </row>
    <row r="427" spans="1:11" ht="16.5" thickBot="1">
      <c r="A427" s="18">
        <f t="shared" si="6"/>
        <v>422</v>
      </c>
      <c r="B427" s="36"/>
      <c r="C427" s="37"/>
      <c r="D427" s="37" t="s">
        <v>932</v>
      </c>
      <c r="E427" s="38"/>
      <c r="F427" s="38"/>
      <c r="G427" s="38"/>
      <c r="H427" s="31"/>
      <c r="I427" s="38"/>
      <c r="J427" s="38"/>
      <c r="K427" s="23">
        <v>0</v>
      </c>
    </row>
    <row r="428" spans="1:11" ht="16.5" thickBot="1">
      <c r="A428" s="18">
        <f t="shared" si="6"/>
        <v>423</v>
      </c>
      <c r="B428" s="36"/>
      <c r="C428" s="37"/>
      <c r="D428" s="37" t="s">
        <v>932</v>
      </c>
      <c r="E428" s="38"/>
      <c r="F428" s="38"/>
      <c r="G428" s="38"/>
      <c r="H428" s="31"/>
      <c r="I428" s="38"/>
      <c r="J428" s="38"/>
      <c r="K428" s="23">
        <v>0</v>
      </c>
    </row>
    <row r="429" spans="1:11" ht="16.5" thickBot="1">
      <c r="A429" s="18">
        <f t="shared" si="6"/>
        <v>424</v>
      </c>
      <c r="B429" s="36"/>
      <c r="C429" s="37"/>
      <c r="D429" s="37" t="s">
        <v>942</v>
      </c>
      <c r="E429" s="38"/>
      <c r="F429" s="38"/>
      <c r="G429" s="38"/>
      <c r="H429" s="31"/>
      <c r="I429" s="38"/>
      <c r="J429" s="38"/>
      <c r="K429" s="23">
        <v>0</v>
      </c>
    </row>
    <row r="430" spans="1:11" ht="16.5" thickBot="1">
      <c r="A430" s="18">
        <f t="shared" si="6"/>
        <v>425</v>
      </c>
      <c r="B430" s="36"/>
      <c r="C430" s="37"/>
      <c r="D430" s="37" t="s">
        <v>295</v>
      </c>
      <c r="E430" s="38"/>
      <c r="F430" s="38"/>
      <c r="G430" s="38"/>
      <c r="H430" s="31"/>
      <c r="I430" s="38"/>
      <c r="J430" s="38"/>
      <c r="K430" s="23">
        <v>0</v>
      </c>
    </row>
    <row r="431" spans="1:11" ht="16.5" thickBot="1">
      <c r="A431" s="18">
        <f t="shared" si="6"/>
        <v>426</v>
      </c>
      <c r="B431" s="36"/>
      <c r="C431" s="37"/>
      <c r="D431" s="37" t="s">
        <v>167</v>
      </c>
      <c r="E431" s="38"/>
      <c r="F431" s="38"/>
      <c r="G431" s="38"/>
      <c r="H431" s="31"/>
      <c r="I431" s="38"/>
      <c r="J431" s="38"/>
      <c r="K431" s="23">
        <v>0</v>
      </c>
    </row>
    <row r="432" spans="1:11" ht="16.5" thickBot="1">
      <c r="A432" s="18">
        <f t="shared" si="6"/>
        <v>427</v>
      </c>
      <c r="B432" s="36" t="s">
        <v>982</v>
      </c>
      <c r="C432" s="37" t="s">
        <v>983</v>
      </c>
      <c r="D432" s="37" t="s">
        <v>281</v>
      </c>
      <c r="E432" s="38"/>
      <c r="F432" s="38"/>
      <c r="G432" s="38"/>
      <c r="H432" s="31"/>
      <c r="I432" s="38"/>
      <c r="J432" s="38"/>
      <c r="K432" s="23">
        <v>0</v>
      </c>
    </row>
    <row r="433" spans="1:11" ht="16.5" thickBot="1">
      <c r="A433" s="18">
        <f t="shared" si="6"/>
        <v>428</v>
      </c>
      <c r="B433" s="36"/>
      <c r="C433" s="37"/>
      <c r="D433" s="37" t="s">
        <v>281</v>
      </c>
      <c r="E433" s="38"/>
      <c r="F433" s="38"/>
      <c r="G433" s="38"/>
      <c r="H433" s="31"/>
      <c r="I433" s="38"/>
      <c r="J433" s="38"/>
      <c r="K433" s="23">
        <v>0</v>
      </c>
    </row>
    <row r="434" spans="1:11" ht="16.5" thickBot="1">
      <c r="A434" s="18">
        <f t="shared" si="6"/>
        <v>429</v>
      </c>
      <c r="B434" s="36" t="s">
        <v>1002</v>
      </c>
      <c r="C434" s="37" t="s">
        <v>1003</v>
      </c>
      <c r="D434" s="37" t="s">
        <v>262</v>
      </c>
      <c r="E434" s="38"/>
      <c r="F434" s="38"/>
      <c r="G434" s="38"/>
      <c r="H434" s="31"/>
      <c r="I434" s="38"/>
      <c r="J434" s="38"/>
      <c r="K434" s="23">
        <v>0</v>
      </c>
    </row>
    <row r="435" spans="1:11" ht="16.5" thickBot="1">
      <c r="A435" s="18">
        <f t="shared" si="6"/>
        <v>430</v>
      </c>
      <c r="B435" s="36"/>
      <c r="C435" s="37"/>
      <c r="D435" s="37" t="s">
        <v>262</v>
      </c>
      <c r="E435" s="38"/>
      <c r="F435" s="38"/>
      <c r="G435" s="38"/>
      <c r="H435" s="31"/>
      <c r="I435" s="38"/>
      <c r="J435" s="38"/>
      <c r="K435" s="23">
        <v>0</v>
      </c>
    </row>
    <row r="436" spans="1:11" ht="16.5" thickBot="1">
      <c r="A436" s="18">
        <f t="shared" si="6"/>
        <v>431</v>
      </c>
      <c r="B436" s="36" t="s">
        <v>1019</v>
      </c>
      <c r="C436" s="37" t="s">
        <v>1020</v>
      </c>
      <c r="D436" s="37" t="s">
        <v>438</v>
      </c>
      <c r="E436" s="38"/>
      <c r="F436" s="38"/>
      <c r="G436" s="38"/>
      <c r="H436" s="31"/>
      <c r="I436" s="38"/>
      <c r="J436" s="38"/>
      <c r="K436" s="23">
        <v>0</v>
      </c>
    </row>
    <row r="437" spans="1:11" ht="16.5" thickBot="1">
      <c r="A437" s="18">
        <f t="shared" si="6"/>
        <v>432</v>
      </c>
      <c r="B437" s="36" t="s">
        <v>916</v>
      </c>
      <c r="C437" s="37" t="s">
        <v>1022</v>
      </c>
      <c r="D437" s="37" t="s">
        <v>438</v>
      </c>
      <c r="E437" s="38"/>
      <c r="F437" s="38"/>
      <c r="G437" s="38"/>
      <c r="H437" s="31"/>
      <c r="I437" s="38"/>
      <c r="J437" s="38"/>
      <c r="K437" s="23">
        <v>0</v>
      </c>
    </row>
    <row r="438" spans="1:11" ht="16.5" thickBot="1">
      <c r="A438" s="18">
        <f t="shared" si="6"/>
        <v>433</v>
      </c>
      <c r="B438" s="36" t="s">
        <v>1025</v>
      </c>
      <c r="C438" s="37" t="s">
        <v>1026</v>
      </c>
      <c r="D438" s="37" t="s">
        <v>1024</v>
      </c>
      <c r="E438" s="38"/>
      <c r="F438" s="38"/>
      <c r="G438" s="38"/>
      <c r="H438" s="31"/>
      <c r="I438" s="38"/>
      <c r="J438" s="38"/>
      <c r="K438" s="23">
        <v>0</v>
      </c>
    </row>
    <row r="439" spans="1:11" ht="16.5" thickBot="1">
      <c r="A439" s="18">
        <f t="shared" si="6"/>
        <v>434</v>
      </c>
      <c r="B439" s="36"/>
      <c r="C439" s="37"/>
      <c r="D439" s="37" t="s">
        <v>1024</v>
      </c>
      <c r="E439" s="38"/>
      <c r="F439" s="38"/>
      <c r="G439" s="38"/>
      <c r="H439" s="31"/>
      <c r="I439" s="38"/>
      <c r="J439" s="38"/>
      <c r="K439" s="23">
        <v>0</v>
      </c>
    </row>
    <row r="440" spans="1:11" ht="16.5" thickBot="1">
      <c r="A440" s="18">
        <f t="shared" si="6"/>
        <v>435</v>
      </c>
      <c r="B440" s="36" t="s">
        <v>1040</v>
      </c>
      <c r="C440" s="37" t="s">
        <v>1041</v>
      </c>
      <c r="D440" s="37" t="s">
        <v>205</v>
      </c>
      <c r="E440" s="38"/>
      <c r="F440" s="38"/>
      <c r="G440" s="38"/>
      <c r="H440" s="31"/>
      <c r="I440" s="38"/>
      <c r="J440" s="38"/>
      <c r="K440" s="23">
        <v>0</v>
      </c>
    </row>
    <row r="441" spans="1:11" ht="16.5" thickBot="1">
      <c r="A441" s="18">
        <f t="shared" si="6"/>
        <v>436</v>
      </c>
      <c r="B441" s="36" t="s">
        <v>1053</v>
      </c>
      <c r="C441" s="37" t="s">
        <v>1054</v>
      </c>
      <c r="D441" s="37" t="s">
        <v>547</v>
      </c>
      <c r="E441" s="38"/>
      <c r="F441" s="38"/>
      <c r="G441" s="38"/>
      <c r="H441" s="31"/>
      <c r="I441" s="38"/>
      <c r="J441" s="38"/>
      <c r="K441" s="23">
        <v>0</v>
      </c>
    </row>
    <row r="442" spans="1:11" ht="16.5" thickBot="1">
      <c r="A442" s="18">
        <f t="shared" si="6"/>
        <v>437</v>
      </c>
      <c r="B442" s="36" t="s">
        <v>195</v>
      </c>
      <c r="C442" s="37" t="s">
        <v>583</v>
      </c>
      <c r="D442" s="37" t="s">
        <v>547</v>
      </c>
      <c r="E442" s="38"/>
      <c r="F442" s="38"/>
      <c r="G442" s="38"/>
      <c r="H442" s="31"/>
      <c r="I442" s="38"/>
      <c r="J442" s="38"/>
      <c r="K442" s="23">
        <v>0</v>
      </c>
    </row>
    <row r="443" spans="1:11" ht="16.5" thickBot="1">
      <c r="A443" s="18">
        <f t="shared" si="6"/>
        <v>438</v>
      </c>
      <c r="B443" s="36" t="s">
        <v>1072</v>
      </c>
      <c r="C443" s="37" t="s">
        <v>1073</v>
      </c>
      <c r="D443" s="37" t="s">
        <v>827</v>
      </c>
      <c r="E443" s="38"/>
      <c r="F443" s="38"/>
      <c r="G443" s="38"/>
      <c r="H443" s="31"/>
      <c r="I443" s="38"/>
      <c r="J443" s="38"/>
      <c r="K443" s="23">
        <v>0</v>
      </c>
    </row>
    <row r="444" spans="1:11" ht="16.5" thickBot="1">
      <c r="A444" s="18">
        <f t="shared" si="6"/>
        <v>439</v>
      </c>
      <c r="B444" s="36"/>
      <c r="C444" s="37"/>
      <c r="D444" s="37" t="s">
        <v>536</v>
      </c>
      <c r="E444" s="38"/>
      <c r="F444" s="38"/>
      <c r="G444" s="38"/>
      <c r="H444" s="31"/>
      <c r="I444" s="38"/>
      <c r="J444" s="38"/>
      <c r="K444" s="23">
        <v>0</v>
      </c>
    </row>
    <row r="445" spans="1:11" ht="16.5" thickBot="1">
      <c r="A445" s="18">
        <f t="shared" si="6"/>
        <v>440</v>
      </c>
      <c r="B445" s="36"/>
      <c r="C445" s="37"/>
      <c r="D445" s="37" t="s">
        <v>536</v>
      </c>
      <c r="E445" s="38"/>
      <c r="F445" s="38"/>
      <c r="G445" s="38"/>
      <c r="H445" s="31"/>
      <c r="I445" s="38"/>
      <c r="J445" s="38"/>
      <c r="K445" s="23">
        <v>0</v>
      </c>
    </row>
    <row r="446" spans="1:11" ht="16.5" thickBot="1">
      <c r="A446" s="18">
        <f t="shared" si="6"/>
        <v>441</v>
      </c>
      <c r="B446" s="36" t="s">
        <v>1105</v>
      </c>
      <c r="C446" s="37" t="s">
        <v>771</v>
      </c>
      <c r="D446" s="37" t="s">
        <v>1098</v>
      </c>
      <c r="E446" s="38"/>
      <c r="F446" s="38"/>
      <c r="G446" s="38"/>
      <c r="H446" s="31"/>
      <c r="I446" s="38"/>
      <c r="J446" s="38"/>
      <c r="K446" s="23">
        <v>0</v>
      </c>
    </row>
    <row r="447" spans="1:11" ht="16.5" thickBot="1">
      <c r="A447" s="18">
        <f t="shared" si="6"/>
        <v>442</v>
      </c>
      <c r="B447" s="36"/>
      <c r="C447" s="37"/>
      <c r="D447" s="37" t="s">
        <v>1098</v>
      </c>
      <c r="E447" s="38"/>
      <c r="F447" s="38"/>
      <c r="G447" s="38"/>
      <c r="H447" s="31"/>
      <c r="I447" s="38"/>
      <c r="J447" s="38"/>
      <c r="K447" s="23">
        <v>0</v>
      </c>
    </row>
    <row r="448" spans="1:11" ht="16.5" thickBot="1">
      <c r="A448" s="18">
        <f t="shared" si="6"/>
        <v>443</v>
      </c>
      <c r="B448" s="36"/>
      <c r="C448" s="37"/>
      <c r="D448" s="37" t="s">
        <v>1098</v>
      </c>
      <c r="E448" s="38"/>
      <c r="F448" s="38"/>
      <c r="G448" s="38"/>
      <c r="H448" s="31"/>
      <c r="I448" s="38"/>
      <c r="J448" s="38"/>
      <c r="K448" s="23">
        <v>0</v>
      </c>
    </row>
    <row r="449" spans="1:11" ht="16.5" thickBot="1">
      <c r="A449" s="18">
        <f t="shared" si="6"/>
        <v>444</v>
      </c>
      <c r="B449" s="36"/>
      <c r="C449" s="37"/>
      <c r="D449" s="37" t="s">
        <v>636</v>
      </c>
      <c r="E449" s="38"/>
      <c r="F449" s="38"/>
      <c r="G449" s="38"/>
      <c r="H449" s="31"/>
      <c r="I449" s="38"/>
      <c r="J449" s="38"/>
      <c r="K449" s="23">
        <v>0</v>
      </c>
    </row>
    <row r="450" spans="1:11" ht="16.5" thickBot="1">
      <c r="A450" s="18">
        <f t="shared" si="6"/>
        <v>445</v>
      </c>
      <c r="B450" s="36"/>
      <c r="C450" s="37"/>
      <c r="D450" s="37" t="s">
        <v>636</v>
      </c>
      <c r="E450" s="38"/>
      <c r="F450" s="38"/>
      <c r="G450" s="38"/>
      <c r="H450" s="31"/>
      <c r="I450" s="38"/>
      <c r="J450" s="38"/>
      <c r="K450" s="23">
        <v>0</v>
      </c>
    </row>
    <row r="451" spans="1:11" ht="16.5" thickBot="1">
      <c r="A451" s="18">
        <f t="shared" si="6"/>
        <v>446</v>
      </c>
      <c r="B451" s="36"/>
      <c r="C451" s="37"/>
      <c r="D451" s="37" t="s">
        <v>636</v>
      </c>
      <c r="E451" s="38"/>
      <c r="F451" s="38"/>
      <c r="G451" s="38"/>
      <c r="H451" s="31"/>
      <c r="I451" s="38"/>
      <c r="J451" s="38"/>
      <c r="K451" s="23">
        <v>0</v>
      </c>
    </row>
    <row r="452" spans="1:11" ht="16.5" thickBot="1">
      <c r="A452" s="18">
        <f t="shared" si="6"/>
        <v>447</v>
      </c>
      <c r="B452" s="36" t="s">
        <v>1115</v>
      </c>
      <c r="C452" s="37" t="s">
        <v>1116</v>
      </c>
      <c r="D452" s="37" t="s">
        <v>304</v>
      </c>
      <c r="E452" s="38"/>
      <c r="F452" s="38"/>
      <c r="G452" s="38"/>
      <c r="H452" s="31"/>
      <c r="I452" s="38"/>
      <c r="J452" s="38"/>
      <c r="K452" s="23">
        <v>0</v>
      </c>
    </row>
    <row r="453" spans="1:11" ht="16.5" thickBot="1">
      <c r="A453" s="18">
        <f t="shared" si="6"/>
        <v>448</v>
      </c>
      <c r="B453" s="36" t="s">
        <v>1121</v>
      </c>
      <c r="C453" s="37" t="s">
        <v>1122</v>
      </c>
      <c r="D453" s="37" t="s">
        <v>304</v>
      </c>
      <c r="E453" s="38"/>
      <c r="F453" s="38"/>
      <c r="G453" s="38"/>
      <c r="H453" s="31"/>
      <c r="I453" s="38"/>
      <c r="J453" s="38"/>
      <c r="K453" s="23">
        <v>0</v>
      </c>
    </row>
    <row r="454" spans="1:11" ht="16.5" thickBot="1">
      <c r="A454" s="18">
        <f t="shared" si="6"/>
        <v>449</v>
      </c>
      <c r="B454" s="36"/>
      <c r="C454" s="37"/>
      <c r="D454" s="37" t="s">
        <v>790</v>
      </c>
      <c r="E454" s="38"/>
      <c r="F454" s="38"/>
      <c r="G454" s="38"/>
      <c r="H454" s="31"/>
      <c r="I454" s="38"/>
      <c r="J454" s="38"/>
      <c r="K454" s="23">
        <v>0</v>
      </c>
    </row>
    <row r="455" spans="1:11" ht="16.5" thickBot="1">
      <c r="A455" s="18">
        <f t="shared" si="6"/>
        <v>450</v>
      </c>
      <c r="B455" s="36"/>
      <c r="C455" s="37"/>
      <c r="D455" s="37" t="s">
        <v>790</v>
      </c>
      <c r="E455" s="38"/>
      <c r="F455" s="38"/>
      <c r="G455" s="38"/>
      <c r="H455" s="31"/>
      <c r="I455" s="38"/>
      <c r="J455" s="38"/>
      <c r="K455" s="23">
        <v>0</v>
      </c>
    </row>
    <row r="456" spans="1:11" ht="16.5" thickBot="1">
      <c r="A456" s="18">
        <f t="shared" ref="A456:A519" si="7">A455+1</f>
        <v>451</v>
      </c>
      <c r="B456" s="36" t="s">
        <v>1150</v>
      </c>
      <c r="C456" s="37" t="s">
        <v>1151</v>
      </c>
      <c r="D456" s="37" t="s">
        <v>750</v>
      </c>
      <c r="E456" s="38"/>
      <c r="F456" s="38"/>
      <c r="G456" s="38"/>
      <c r="H456" s="31"/>
      <c r="I456" s="38"/>
      <c r="J456" s="38"/>
      <c r="K456" s="23">
        <v>0</v>
      </c>
    </row>
    <row r="457" spans="1:11" ht="16.5" thickBot="1">
      <c r="A457" s="18">
        <f t="shared" si="7"/>
        <v>452</v>
      </c>
      <c r="B457" s="36" t="s">
        <v>1154</v>
      </c>
      <c r="C457" s="37" t="s">
        <v>1155</v>
      </c>
      <c r="D457" s="37" t="s">
        <v>750</v>
      </c>
      <c r="E457" s="38"/>
      <c r="F457" s="38"/>
      <c r="G457" s="38"/>
      <c r="H457" s="31"/>
      <c r="I457" s="38"/>
      <c r="J457" s="38"/>
      <c r="K457" s="23">
        <v>0</v>
      </c>
    </row>
    <row r="458" spans="1:11" ht="16.5" thickBot="1">
      <c r="A458" s="18">
        <f t="shared" si="7"/>
        <v>453</v>
      </c>
      <c r="B458" s="36" t="s">
        <v>193</v>
      </c>
      <c r="C458" s="37" t="s">
        <v>860</v>
      </c>
      <c r="D458" s="37" t="s">
        <v>665</v>
      </c>
      <c r="E458" s="38"/>
      <c r="F458" s="38"/>
      <c r="G458" s="38"/>
      <c r="H458" s="31"/>
      <c r="I458" s="38"/>
      <c r="J458" s="38"/>
      <c r="K458" s="23">
        <v>0</v>
      </c>
    </row>
    <row r="459" spans="1:11" ht="16.5" thickBot="1">
      <c r="A459" s="18">
        <f t="shared" si="7"/>
        <v>454</v>
      </c>
      <c r="B459" s="36" t="s">
        <v>1000</v>
      </c>
      <c r="C459" s="37" t="s">
        <v>1174</v>
      </c>
      <c r="D459" s="37" t="s">
        <v>763</v>
      </c>
      <c r="E459" s="38"/>
      <c r="F459" s="38"/>
      <c r="G459" s="38"/>
      <c r="H459" s="31"/>
      <c r="I459" s="38"/>
      <c r="J459" s="38"/>
      <c r="K459" s="23">
        <v>0</v>
      </c>
    </row>
    <row r="460" spans="1:11" ht="16.5" thickBot="1">
      <c r="A460" s="18">
        <f t="shared" si="7"/>
        <v>455</v>
      </c>
      <c r="B460" s="36" t="s">
        <v>993</v>
      </c>
      <c r="C460" s="37" t="s">
        <v>1188</v>
      </c>
      <c r="D460" s="37" t="s">
        <v>695</v>
      </c>
      <c r="E460" s="38"/>
      <c r="F460" s="38"/>
      <c r="G460" s="38"/>
      <c r="H460" s="31"/>
      <c r="I460" s="38"/>
      <c r="J460" s="38"/>
      <c r="K460" s="23">
        <v>0</v>
      </c>
    </row>
    <row r="461" spans="1:11" ht="16.5" thickBot="1">
      <c r="A461" s="18">
        <f t="shared" si="7"/>
        <v>456</v>
      </c>
      <c r="B461" s="36" t="s">
        <v>1189</v>
      </c>
      <c r="C461" s="37" t="s">
        <v>1190</v>
      </c>
      <c r="D461" s="37" t="s">
        <v>695</v>
      </c>
      <c r="E461" s="38"/>
      <c r="F461" s="38"/>
      <c r="G461" s="38"/>
      <c r="H461" s="31"/>
      <c r="I461" s="38"/>
      <c r="J461" s="38"/>
      <c r="K461" s="23">
        <v>0</v>
      </c>
    </row>
    <row r="462" spans="1:11" ht="16.5" thickBot="1">
      <c r="A462" s="18">
        <f t="shared" si="7"/>
        <v>457</v>
      </c>
      <c r="B462" s="36" t="s">
        <v>1191</v>
      </c>
      <c r="C462" s="37" t="s">
        <v>1192</v>
      </c>
      <c r="D462" s="37" t="s">
        <v>695</v>
      </c>
      <c r="E462" s="38"/>
      <c r="F462" s="38"/>
      <c r="G462" s="38"/>
      <c r="H462" s="31"/>
      <c r="I462" s="38"/>
      <c r="J462" s="38"/>
      <c r="K462" s="23">
        <v>0</v>
      </c>
    </row>
    <row r="463" spans="1:11" ht="16.5" thickBot="1">
      <c r="A463" s="18">
        <f t="shared" si="7"/>
        <v>458</v>
      </c>
      <c r="B463" s="36" t="s">
        <v>1206</v>
      </c>
      <c r="C463" s="37" t="s">
        <v>1207</v>
      </c>
      <c r="D463" s="37" t="s">
        <v>1199</v>
      </c>
      <c r="E463" s="38"/>
      <c r="F463" s="38"/>
      <c r="G463" s="38"/>
      <c r="H463" s="31"/>
      <c r="I463" s="38"/>
      <c r="J463" s="38"/>
      <c r="K463" s="23">
        <v>0</v>
      </c>
    </row>
    <row r="464" spans="1:11" ht="16.5" thickBot="1">
      <c r="A464" s="18">
        <f t="shared" si="7"/>
        <v>459</v>
      </c>
      <c r="B464" s="36" t="s">
        <v>1208</v>
      </c>
      <c r="C464" s="37" t="s">
        <v>362</v>
      </c>
      <c r="D464" s="37" t="s">
        <v>1199</v>
      </c>
      <c r="E464" s="38"/>
      <c r="F464" s="38"/>
      <c r="G464" s="38"/>
      <c r="H464" s="31"/>
      <c r="I464" s="38"/>
      <c r="J464" s="38"/>
      <c r="K464" s="23">
        <v>0</v>
      </c>
    </row>
    <row r="465" spans="1:11" ht="16.5" thickBot="1">
      <c r="A465" s="18">
        <f t="shared" si="7"/>
        <v>460</v>
      </c>
      <c r="B465" s="36" t="s">
        <v>901</v>
      </c>
      <c r="C465" s="37" t="s">
        <v>861</v>
      </c>
      <c r="D465" s="37" t="s">
        <v>331</v>
      </c>
      <c r="E465" s="38"/>
      <c r="F465" s="38"/>
      <c r="G465" s="38"/>
      <c r="H465" s="31"/>
      <c r="I465" s="38"/>
      <c r="J465" s="38"/>
      <c r="K465" s="23">
        <v>0</v>
      </c>
    </row>
    <row r="466" spans="1:11" ht="16.5" thickBot="1">
      <c r="A466" s="18">
        <f t="shared" si="7"/>
        <v>461</v>
      </c>
      <c r="B466" s="36"/>
      <c r="C466" s="37"/>
      <c r="D466" s="37" t="s">
        <v>331</v>
      </c>
      <c r="E466" s="38"/>
      <c r="F466" s="38"/>
      <c r="G466" s="38"/>
      <c r="H466" s="31"/>
      <c r="I466" s="38"/>
      <c r="J466" s="38"/>
      <c r="K466" s="23">
        <v>0</v>
      </c>
    </row>
    <row r="467" spans="1:11" ht="16.5" thickBot="1">
      <c r="A467" s="18">
        <f t="shared" si="7"/>
        <v>462</v>
      </c>
      <c r="B467" s="36"/>
      <c r="C467" s="37"/>
      <c r="D467" s="37" t="s">
        <v>331</v>
      </c>
      <c r="E467" s="38"/>
      <c r="F467" s="38"/>
      <c r="G467" s="38"/>
      <c r="H467" s="31"/>
      <c r="I467" s="38"/>
      <c r="J467" s="38"/>
      <c r="K467" s="23">
        <v>0</v>
      </c>
    </row>
    <row r="468" spans="1:11" ht="16.5" thickBot="1">
      <c r="A468" s="18">
        <f t="shared" si="7"/>
        <v>463</v>
      </c>
      <c r="B468" s="36" t="s">
        <v>1203</v>
      </c>
      <c r="C468" s="37" t="s">
        <v>1230</v>
      </c>
      <c r="D468" s="37" t="s">
        <v>1228</v>
      </c>
      <c r="E468" s="38"/>
      <c r="F468" s="38"/>
      <c r="G468" s="38"/>
      <c r="H468" s="31"/>
      <c r="I468" s="38"/>
      <c r="J468" s="38"/>
      <c r="K468" s="23">
        <v>0</v>
      </c>
    </row>
    <row r="469" spans="1:11" ht="16.5" thickBot="1">
      <c r="A469" s="18">
        <f t="shared" si="7"/>
        <v>464</v>
      </c>
      <c r="B469" s="36" t="s">
        <v>907</v>
      </c>
      <c r="C469" s="37" t="s">
        <v>1239</v>
      </c>
      <c r="D469" s="37" t="s">
        <v>626</v>
      </c>
      <c r="E469" s="38"/>
      <c r="F469" s="38"/>
      <c r="G469" s="38"/>
      <c r="H469" s="31"/>
      <c r="I469" s="38"/>
      <c r="J469" s="38"/>
      <c r="K469" s="23">
        <v>0</v>
      </c>
    </row>
    <row r="470" spans="1:11" ht="16.5" thickBot="1">
      <c r="A470" s="18">
        <f t="shared" si="7"/>
        <v>465</v>
      </c>
      <c r="B470" s="36" t="s">
        <v>1247</v>
      </c>
      <c r="C470" s="37" t="s">
        <v>1248</v>
      </c>
      <c r="D470" s="37" t="s">
        <v>626</v>
      </c>
      <c r="E470" s="38"/>
      <c r="F470" s="38"/>
      <c r="G470" s="38"/>
      <c r="H470" s="31"/>
      <c r="I470" s="38"/>
      <c r="J470" s="38"/>
      <c r="K470" s="23">
        <v>0</v>
      </c>
    </row>
    <row r="471" spans="1:11" ht="16.5" thickBot="1">
      <c r="A471" s="18">
        <f t="shared" si="7"/>
        <v>466</v>
      </c>
      <c r="B471" s="36" t="s">
        <v>1251</v>
      </c>
      <c r="C471" s="37" t="s">
        <v>1252</v>
      </c>
      <c r="D471" s="37" t="s">
        <v>113</v>
      </c>
      <c r="E471" s="38"/>
      <c r="F471" s="38"/>
      <c r="G471" s="38"/>
      <c r="H471" s="31"/>
      <c r="I471" s="38"/>
      <c r="J471" s="38"/>
      <c r="K471" s="23">
        <v>0</v>
      </c>
    </row>
    <row r="472" spans="1:11" ht="16.5" thickBot="1">
      <c r="A472" s="18">
        <f t="shared" si="7"/>
        <v>467</v>
      </c>
      <c r="B472" s="36"/>
      <c r="C472" s="37"/>
      <c r="D472" s="37" t="s">
        <v>113</v>
      </c>
      <c r="E472" s="38"/>
      <c r="F472" s="38"/>
      <c r="G472" s="38"/>
      <c r="H472" s="31"/>
      <c r="I472" s="38"/>
      <c r="J472" s="38"/>
      <c r="K472" s="23">
        <v>0</v>
      </c>
    </row>
    <row r="473" spans="1:11" ht="16.5" thickBot="1">
      <c r="A473" s="18">
        <f t="shared" si="7"/>
        <v>468</v>
      </c>
      <c r="B473" s="36"/>
      <c r="C473" s="37"/>
      <c r="D473" s="37" t="s">
        <v>113</v>
      </c>
      <c r="E473" s="38"/>
      <c r="F473" s="38"/>
      <c r="G473" s="38"/>
      <c r="H473" s="31"/>
      <c r="I473" s="38"/>
      <c r="J473" s="38"/>
      <c r="K473" s="23">
        <v>0</v>
      </c>
    </row>
    <row r="474" spans="1:11" ht="16.5" thickBot="1">
      <c r="A474" s="18">
        <f t="shared" si="7"/>
        <v>469</v>
      </c>
      <c r="B474" s="36"/>
      <c r="C474" s="37"/>
      <c r="D474" s="37" t="s">
        <v>703</v>
      </c>
      <c r="E474" s="38"/>
      <c r="F474" s="38"/>
      <c r="G474" s="38"/>
      <c r="H474" s="31"/>
      <c r="I474" s="38"/>
      <c r="J474" s="38"/>
      <c r="K474" s="23">
        <v>0</v>
      </c>
    </row>
    <row r="475" spans="1:11" ht="16.5" thickBot="1">
      <c r="A475" s="18">
        <f t="shared" si="7"/>
        <v>470</v>
      </c>
      <c r="B475" s="36"/>
      <c r="C475" s="37"/>
      <c r="D475" s="37" t="s">
        <v>703</v>
      </c>
      <c r="E475" s="38"/>
      <c r="F475" s="38"/>
      <c r="G475" s="38"/>
      <c r="H475" s="31"/>
      <c r="I475" s="38"/>
      <c r="J475" s="38"/>
      <c r="K475" s="23">
        <v>0</v>
      </c>
    </row>
    <row r="476" spans="1:11" ht="16.5" thickBot="1">
      <c r="A476" s="18">
        <f t="shared" si="7"/>
        <v>471</v>
      </c>
      <c r="B476" s="36"/>
      <c r="C476" s="37"/>
      <c r="D476" s="37" t="s">
        <v>703</v>
      </c>
      <c r="E476" s="38"/>
      <c r="F476" s="38"/>
      <c r="G476" s="38"/>
      <c r="H476" s="31"/>
      <c r="I476" s="38"/>
      <c r="J476" s="38"/>
      <c r="K476" s="23">
        <v>0</v>
      </c>
    </row>
    <row r="477" spans="1:11" ht="16.5" thickBot="1">
      <c r="A477" s="18">
        <f t="shared" si="7"/>
        <v>472</v>
      </c>
      <c r="B477" s="36" t="s">
        <v>1272</v>
      </c>
      <c r="C477" s="37" t="s">
        <v>1273</v>
      </c>
      <c r="D477" s="37" t="s">
        <v>856</v>
      </c>
      <c r="E477" s="38"/>
      <c r="F477" s="38"/>
      <c r="G477" s="38"/>
      <c r="H477" s="31"/>
      <c r="I477" s="38"/>
      <c r="J477" s="38"/>
      <c r="K477" s="23">
        <v>0</v>
      </c>
    </row>
    <row r="478" spans="1:11" ht="16.5" thickBot="1">
      <c r="A478" s="18">
        <f t="shared" si="7"/>
        <v>473</v>
      </c>
      <c r="B478" s="36" t="s">
        <v>1274</v>
      </c>
      <c r="C478" s="37" t="s">
        <v>1275</v>
      </c>
      <c r="D478" s="37" t="s">
        <v>856</v>
      </c>
      <c r="E478" s="38"/>
      <c r="F478" s="38"/>
      <c r="G478" s="38"/>
      <c r="H478" s="31"/>
      <c r="I478" s="38"/>
      <c r="J478" s="38"/>
      <c r="K478" s="23">
        <v>0</v>
      </c>
    </row>
    <row r="479" spans="1:11" ht="16.5" thickBot="1">
      <c r="A479" s="18">
        <f t="shared" si="7"/>
        <v>474</v>
      </c>
      <c r="B479" s="36" t="s">
        <v>1137</v>
      </c>
      <c r="C479" s="37" t="s">
        <v>1281</v>
      </c>
      <c r="D479" s="37" t="s">
        <v>654</v>
      </c>
      <c r="E479" s="38"/>
      <c r="F479" s="38"/>
      <c r="G479" s="38"/>
      <c r="H479" s="31"/>
      <c r="I479" s="38"/>
      <c r="J479" s="38"/>
      <c r="K479" s="23">
        <v>0</v>
      </c>
    </row>
    <row r="480" spans="1:11" ht="16.5" thickBot="1">
      <c r="A480" s="18">
        <f t="shared" si="7"/>
        <v>475</v>
      </c>
      <c r="B480" s="36" t="s">
        <v>1293</v>
      </c>
      <c r="C480" s="37" t="s">
        <v>1294</v>
      </c>
      <c r="D480" s="37" t="s">
        <v>1289</v>
      </c>
      <c r="E480" s="38"/>
      <c r="F480" s="38"/>
      <c r="G480" s="38"/>
      <c r="H480" s="31"/>
      <c r="I480" s="38"/>
      <c r="J480" s="38"/>
      <c r="K480" s="23">
        <v>0</v>
      </c>
    </row>
    <row r="481" spans="1:11" ht="16.5" thickBot="1">
      <c r="A481" s="18">
        <f t="shared" si="7"/>
        <v>476</v>
      </c>
      <c r="B481" s="36"/>
      <c r="C481" s="37"/>
      <c r="D481" s="37" t="s">
        <v>1289</v>
      </c>
      <c r="E481" s="38"/>
      <c r="F481" s="38"/>
      <c r="G481" s="38"/>
      <c r="H481" s="31"/>
      <c r="I481" s="38"/>
      <c r="J481" s="38"/>
      <c r="K481" s="23">
        <v>0</v>
      </c>
    </row>
    <row r="482" spans="1:11" ht="16.5" thickBot="1">
      <c r="A482" s="18">
        <f t="shared" si="7"/>
        <v>477</v>
      </c>
      <c r="B482" s="36"/>
      <c r="C482" s="37"/>
      <c r="D482" s="37" t="s">
        <v>1289</v>
      </c>
      <c r="E482" s="38"/>
      <c r="F482" s="38"/>
      <c r="G482" s="38"/>
      <c r="H482" s="31"/>
      <c r="I482" s="38"/>
      <c r="J482" s="38"/>
      <c r="K482" s="23">
        <v>0</v>
      </c>
    </row>
    <row r="483" spans="1:11" ht="16.5" thickBot="1">
      <c r="A483" s="18">
        <f t="shared" si="7"/>
        <v>478</v>
      </c>
      <c r="B483" s="36" t="s">
        <v>1161</v>
      </c>
      <c r="C483" s="37" t="s">
        <v>1303</v>
      </c>
      <c r="D483" s="37" t="s">
        <v>617</v>
      </c>
      <c r="E483" s="38"/>
      <c r="F483" s="38"/>
      <c r="G483" s="38"/>
      <c r="H483" s="31"/>
      <c r="I483" s="38"/>
      <c r="J483" s="38"/>
      <c r="K483" s="23">
        <v>0</v>
      </c>
    </row>
    <row r="484" spans="1:11" ht="16.5" thickBot="1">
      <c r="A484" s="18">
        <f t="shared" si="7"/>
        <v>479</v>
      </c>
      <c r="B484" s="36" t="s">
        <v>1070</v>
      </c>
      <c r="C484" s="37" t="s">
        <v>1312</v>
      </c>
      <c r="D484" s="37" t="s">
        <v>1306</v>
      </c>
      <c r="E484" s="38"/>
      <c r="F484" s="38"/>
      <c r="G484" s="38"/>
      <c r="H484" s="31"/>
      <c r="I484" s="38"/>
      <c r="J484" s="38"/>
      <c r="K484" s="23">
        <v>0</v>
      </c>
    </row>
    <row r="485" spans="1:11" ht="16.5" thickBot="1">
      <c r="A485" s="18">
        <f t="shared" si="7"/>
        <v>480</v>
      </c>
      <c r="B485" s="36" t="s">
        <v>920</v>
      </c>
      <c r="C485" s="37" t="s">
        <v>1316</v>
      </c>
      <c r="D485" s="37" t="s">
        <v>1315</v>
      </c>
      <c r="E485" s="38"/>
      <c r="F485" s="38"/>
      <c r="G485" s="38"/>
      <c r="H485" s="31"/>
      <c r="I485" s="38"/>
      <c r="J485" s="38"/>
      <c r="K485" s="23">
        <v>0</v>
      </c>
    </row>
    <row r="486" spans="1:11" ht="16.5" thickBot="1">
      <c r="A486" s="18">
        <f t="shared" si="7"/>
        <v>481</v>
      </c>
      <c r="B486" s="36" t="s">
        <v>1070</v>
      </c>
      <c r="C486" s="37" t="s">
        <v>1319</v>
      </c>
      <c r="D486" s="37" t="s">
        <v>1315</v>
      </c>
      <c r="E486" s="38"/>
      <c r="F486" s="38"/>
      <c r="G486" s="38"/>
      <c r="H486" s="31"/>
      <c r="I486" s="38"/>
      <c r="J486" s="38"/>
      <c r="K486" s="23">
        <v>0</v>
      </c>
    </row>
    <row r="487" spans="1:11" ht="16.5" thickBot="1">
      <c r="A487" s="18">
        <f t="shared" si="7"/>
        <v>482</v>
      </c>
      <c r="B487" s="36"/>
      <c r="C487" s="37"/>
      <c r="D487" s="37" t="s">
        <v>1315</v>
      </c>
      <c r="E487" s="38"/>
      <c r="F487" s="38"/>
      <c r="G487" s="38"/>
      <c r="H487" s="31"/>
      <c r="I487" s="38"/>
      <c r="J487" s="38"/>
      <c r="K487" s="23">
        <v>0</v>
      </c>
    </row>
    <row r="488" spans="1:11" ht="16.5" thickBot="1">
      <c r="A488" s="18">
        <f t="shared" si="7"/>
        <v>483</v>
      </c>
      <c r="B488" s="36"/>
      <c r="C488" s="37"/>
      <c r="D488" s="37" t="s">
        <v>1315</v>
      </c>
      <c r="E488" s="38"/>
      <c r="F488" s="38"/>
      <c r="G488" s="38"/>
      <c r="H488" s="31"/>
      <c r="I488" s="38"/>
      <c r="J488" s="38"/>
      <c r="K488" s="23">
        <v>0</v>
      </c>
    </row>
    <row r="489" spans="1:11" ht="16.5" thickBot="1">
      <c r="A489" s="18">
        <f t="shared" si="7"/>
        <v>484</v>
      </c>
      <c r="B489" s="36"/>
      <c r="C489" s="37"/>
      <c r="D489" s="37" t="s">
        <v>1315</v>
      </c>
      <c r="E489" s="38"/>
      <c r="F489" s="38"/>
      <c r="G489" s="38"/>
      <c r="H489" s="31"/>
      <c r="I489" s="38"/>
      <c r="J489" s="38"/>
      <c r="K489" s="23">
        <v>0</v>
      </c>
    </row>
    <row r="490" spans="1:11" ht="16.5" thickBot="1">
      <c r="A490" s="18">
        <f t="shared" si="7"/>
        <v>485</v>
      </c>
      <c r="B490" s="36" t="s">
        <v>1332</v>
      </c>
      <c r="C490" s="37" t="s">
        <v>227</v>
      </c>
      <c r="D490" s="37" t="s">
        <v>643</v>
      </c>
      <c r="E490" s="38"/>
      <c r="F490" s="38"/>
      <c r="G490" s="38"/>
      <c r="H490" s="31"/>
      <c r="I490" s="38"/>
      <c r="J490" s="38"/>
      <c r="K490" s="23">
        <v>0</v>
      </c>
    </row>
    <row r="491" spans="1:11" ht="16.5" thickBot="1">
      <c r="A491" s="18">
        <f t="shared" si="7"/>
        <v>486</v>
      </c>
      <c r="B491" s="36" t="s">
        <v>1181</v>
      </c>
      <c r="C491" s="37" t="s">
        <v>605</v>
      </c>
      <c r="D491" s="37" t="s">
        <v>643</v>
      </c>
      <c r="E491" s="38"/>
      <c r="F491" s="38"/>
      <c r="G491" s="38"/>
      <c r="H491" s="31"/>
      <c r="I491" s="38"/>
      <c r="J491" s="38"/>
      <c r="K491" s="23">
        <v>0</v>
      </c>
    </row>
    <row r="492" spans="1:11" ht="16.5" thickBot="1">
      <c r="A492" s="18">
        <f t="shared" si="7"/>
        <v>487</v>
      </c>
      <c r="B492" s="36" t="s">
        <v>914</v>
      </c>
      <c r="C492" s="37" t="s">
        <v>1338</v>
      </c>
      <c r="D492" s="37" t="s">
        <v>643</v>
      </c>
      <c r="E492" s="38"/>
      <c r="F492" s="38"/>
      <c r="G492" s="38"/>
      <c r="H492" s="31"/>
      <c r="I492" s="38"/>
      <c r="J492" s="38"/>
      <c r="K492" s="23">
        <v>0</v>
      </c>
    </row>
    <row r="493" spans="1:11" ht="16.5" thickBot="1">
      <c r="A493" s="18">
        <f t="shared" si="7"/>
        <v>488</v>
      </c>
      <c r="B493" s="36" t="s">
        <v>916</v>
      </c>
      <c r="C493" s="37" t="s">
        <v>1345</v>
      </c>
      <c r="D493" s="37" t="s">
        <v>1339</v>
      </c>
      <c r="E493" s="38"/>
      <c r="F493" s="38"/>
      <c r="G493" s="38"/>
      <c r="H493" s="31"/>
      <c r="I493" s="38"/>
      <c r="J493" s="38"/>
      <c r="K493" s="23">
        <v>0</v>
      </c>
    </row>
    <row r="494" spans="1:11" ht="16.5" thickBot="1">
      <c r="A494" s="18">
        <f t="shared" si="7"/>
        <v>489</v>
      </c>
      <c r="B494" s="36"/>
      <c r="C494" s="37"/>
      <c r="D494" s="37" t="s">
        <v>1339</v>
      </c>
      <c r="E494" s="38"/>
      <c r="F494" s="38"/>
      <c r="G494" s="38"/>
      <c r="H494" s="31"/>
      <c r="I494" s="38"/>
      <c r="J494" s="38"/>
      <c r="K494" s="23">
        <v>0</v>
      </c>
    </row>
    <row r="495" spans="1:11" ht="16.5" thickBot="1">
      <c r="A495" s="18">
        <f t="shared" si="7"/>
        <v>490</v>
      </c>
      <c r="B495" s="36" t="s">
        <v>916</v>
      </c>
      <c r="C495" s="37" t="s">
        <v>1351</v>
      </c>
      <c r="D495" s="37" t="s">
        <v>318</v>
      </c>
      <c r="E495" s="38"/>
      <c r="F495" s="38"/>
      <c r="G495" s="38"/>
      <c r="H495" s="31"/>
      <c r="I495" s="38"/>
      <c r="J495" s="38"/>
      <c r="K495" s="23">
        <v>0</v>
      </c>
    </row>
    <row r="496" spans="1:11" ht="16.5" thickBot="1">
      <c r="A496" s="18">
        <f t="shared" si="7"/>
        <v>491</v>
      </c>
      <c r="B496" s="36"/>
      <c r="C496" s="37"/>
      <c r="D496" s="37" t="s">
        <v>318</v>
      </c>
      <c r="E496" s="38"/>
      <c r="F496" s="38"/>
      <c r="G496" s="38"/>
      <c r="H496" s="31"/>
      <c r="I496" s="38"/>
      <c r="J496" s="38"/>
      <c r="K496" s="23">
        <v>0</v>
      </c>
    </row>
    <row r="497" spans="1:11" ht="16.5" thickBot="1">
      <c r="A497" s="18">
        <f t="shared" si="7"/>
        <v>492</v>
      </c>
      <c r="B497" s="36"/>
      <c r="C497" s="37"/>
      <c r="D497" s="37" t="s">
        <v>44</v>
      </c>
      <c r="E497" s="38"/>
      <c r="F497" s="38"/>
      <c r="G497" s="38"/>
      <c r="H497" s="31"/>
      <c r="I497" s="38"/>
      <c r="J497" s="38"/>
      <c r="K497" s="23">
        <v>0</v>
      </c>
    </row>
    <row r="498" spans="1:11" ht="16.5" thickBot="1">
      <c r="A498" s="18">
        <f t="shared" si="7"/>
        <v>493</v>
      </c>
      <c r="B498" s="36"/>
      <c r="C498" s="37"/>
      <c r="D498" s="37" t="s">
        <v>44</v>
      </c>
      <c r="E498" s="38"/>
      <c r="F498" s="38"/>
      <c r="G498" s="38"/>
      <c r="H498" s="31"/>
      <c r="I498" s="38"/>
      <c r="J498" s="38"/>
      <c r="K498" s="23">
        <v>0</v>
      </c>
    </row>
    <row r="499" spans="1:11" ht="16.5" thickBot="1">
      <c r="A499" s="18">
        <f t="shared" si="7"/>
        <v>494</v>
      </c>
      <c r="B499" s="36"/>
      <c r="C499" s="37"/>
      <c r="D499" s="37" t="s">
        <v>84</v>
      </c>
      <c r="E499" s="38"/>
      <c r="F499" s="38"/>
      <c r="G499" s="38"/>
      <c r="H499" s="31"/>
      <c r="I499" s="38"/>
      <c r="J499" s="38"/>
      <c r="K499" s="23">
        <v>0</v>
      </c>
    </row>
    <row r="500" spans="1:11" ht="16.5" thickBot="1">
      <c r="A500" s="18">
        <f t="shared" si="7"/>
        <v>495</v>
      </c>
      <c r="B500" s="36"/>
      <c r="C500" s="37"/>
      <c r="D500" s="37" t="s">
        <v>514</v>
      </c>
      <c r="E500" s="38"/>
      <c r="F500" s="38"/>
      <c r="G500" s="38"/>
      <c r="H500" s="31"/>
      <c r="I500" s="38"/>
      <c r="J500" s="38"/>
      <c r="K500" s="23">
        <v>0</v>
      </c>
    </row>
    <row r="501" spans="1:11" ht="16.5" thickBot="1">
      <c r="A501" s="18">
        <f t="shared" si="7"/>
        <v>496</v>
      </c>
      <c r="B501" s="36" t="s">
        <v>1270</v>
      </c>
      <c r="C501" s="37" t="s">
        <v>1402</v>
      </c>
      <c r="D501" s="37" t="s">
        <v>490</v>
      </c>
      <c r="E501" s="38"/>
      <c r="F501" s="38"/>
      <c r="G501" s="38"/>
      <c r="H501" s="31"/>
      <c r="I501" s="38"/>
      <c r="J501" s="38"/>
      <c r="K501" s="23">
        <v>0</v>
      </c>
    </row>
    <row r="502" spans="1:11" ht="16.5" thickBot="1">
      <c r="A502" s="18">
        <f t="shared" si="7"/>
        <v>497</v>
      </c>
      <c r="B502" s="36"/>
      <c r="C502" s="37"/>
      <c r="D502" s="37" t="s">
        <v>154</v>
      </c>
      <c r="E502" s="38"/>
      <c r="F502" s="38"/>
      <c r="G502" s="38"/>
      <c r="H502" s="31"/>
      <c r="I502" s="38"/>
      <c r="J502" s="38"/>
      <c r="K502" s="23">
        <v>0</v>
      </c>
    </row>
    <row r="503" spans="1:11" ht="16.5" thickBot="1">
      <c r="A503" s="18">
        <f t="shared" si="7"/>
        <v>498</v>
      </c>
      <c r="B503" s="36"/>
      <c r="C503" s="37"/>
      <c r="D503" s="37" t="s">
        <v>154</v>
      </c>
      <c r="E503" s="38"/>
      <c r="F503" s="38"/>
      <c r="G503" s="38"/>
      <c r="H503" s="31"/>
      <c r="I503" s="38"/>
      <c r="J503" s="38"/>
      <c r="K503" s="23">
        <v>0</v>
      </c>
    </row>
    <row r="504" spans="1:11" ht="16.5" thickBot="1">
      <c r="A504" s="18">
        <f t="shared" si="7"/>
        <v>499</v>
      </c>
      <c r="B504" s="36" t="s">
        <v>1417</v>
      </c>
      <c r="C504" s="37" t="s">
        <v>1418</v>
      </c>
      <c r="D504" s="37" t="s">
        <v>1413</v>
      </c>
      <c r="E504" s="38"/>
      <c r="F504" s="38"/>
      <c r="G504" s="38"/>
      <c r="H504" s="31"/>
      <c r="I504" s="38"/>
      <c r="J504" s="38"/>
      <c r="K504" s="23">
        <v>0</v>
      </c>
    </row>
    <row r="505" spans="1:11" ht="16.5" thickBot="1">
      <c r="A505" s="18">
        <f t="shared" si="7"/>
        <v>500</v>
      </c>
      <c r="B505" s="36"/>
      <c r="C505" s="37"/>
      <c r="D505" s="37" t="s">
        <v>27</v>
      </c>
      <c r="E505" s="38"/>
      <c r="F505" s="38"/>
      <c r="G505" s="38"/>
      <c r="H505" s="31"/>
      <c r="I505" s="38"/>
      <c r="J505" s="38"/>
      <c r="K505" s="23">
        <v>0</v>
      </c>
    </row>
    <row r="506" spans="1:11" ht="16.5" thickBot="1">
      <c r="A506" s="18">
        <f t="shared" si="7"/>
        <v>501</v>
      </c>
      <c r="B506" s="36" t="s">
        <v>1156</v>
      </c>
      <c r="C506" s="37" t="s">
        <v>1432</v>
      </c>
      <c r="D506" s="37" t="s">
        <v>729</v>
      </c>
      <c r="E506" s="38"/>
      <c r="F506" s="38"/>
      <c r="G506" s="38"/>
      <c r="H506" s="31"/>
      <c r="I506" s="38"/>
      <c r="J506" s="38"/>
      <c r="K506" s="23">
        <v>0</v>
      </c>
    </row>
    <row r="507" spans="1:11" ht="16.5" thickBot="1">
      <c r="A507" s="18">
        <f t="shared" si="7"/>
        <v>502</v>
      </c>
      <c r="B507" s="36" t="s">
        <v>1436</v>
      </c>
      <c r="C507" s="37" t="s">
        <v>1068</v>
      </c>
      <c r="D507" s="37" t="s">
        <v>729</v>
      </c>
      <c r="E507" s="38"/>
      <c r="F507" s="38"/>
      <c r="G507" s="38"/>
      <c r="H507" s="31"/>
      <c r="I507" s="38"/>
      <c r="J507" s="38"/>
      <c r="K507" s="23">
        <v>0</v>
      </c>
    </row>
    <row r="508" spans="1:11" ht="16.5" thickBot="1">
      <c r="A508" s="18">
        <f t="shared" si="7"/>
        <v>503</v>
      </c>
      <c r="B508" s="36" t="s">
        <v>988</v>
      </c>
      <c r="C508" s="37" t="s">
        <v>1095</v>
      </c>
      <c r="D508" s="37" t="s">
        <v>231</v>
      </c>
      <c r="E508" s="38"/>
      <c r="F508" s="38"/>
      <c r="G508" s="38"/>
      <c r="H508" s="31"/>
      <c r="I508" s="38"/>
      <c r="J508" s="38"/>
      <c r="K508" s="23">
        <v>0</v>
      </c>
    </row>
    <row r="509" spans="1:11" ht="16.5" thickBot="1">
      <c r="A509" s="18">
        <f t="shared" si="7"/>
        <v>504</v>
      </c>
      <c r="B509" s="36" t="s">
        <v>924</v>
      </c>
      <c r="C509" s="37" t="s">
        <v>119</v>
      </c>
      <c r="D509" s="37" t="s">
        <v>231</v>
      </c>
      <c r="E509" s="38"/>
      <c r="F509" s="38"/>
      <c r="G509" s="38"/>
      <c r="H509" s="31"/>
      <c r="I509" s="38"/>
      <c r="J509" s="38"/>
      <c r="K509" s="23">
        <v>0</v>
      </c>
    </row>
    <row r="510" spans="1:11" ht="16.5" thickBot="1">
      <c r="A510" s="18">
        <f t="shared" si="7"/>
        <v>505</v>
      </c>
      <c r="B510" s="36"/>
      <c r="C510" s="37"/>
      <c r="D510" s="37" t="s">
        <v>231</v>
      </c>
      <c r="E510" s="38"/>
      <c r="F510" s="38"/>
      <c r="G510" s="38"/>
      <c r="H510" s="31"/>
      <c r="I510" s="38"/>
      <c r="J510" s="38"/>
      <c r="K510" s="23">
        <v>0</v>
      </c>
    </row>
    <row r="511" spans="1:11" ht="16.5" thickBot="1">
      <c r="A511" s="18">
        <f t="shared" si="7"/>
        <v>506</v>
      </c>
      <c r="B511" s="36"/>
      <c r="C511" s="37"/>
      <c r="D511" s="37" t="s">
        <v>772</v>
      </c>
      <c r="E511" s="38"/>
      <c r="F511" s="38"/>
      <c r="G511" s="38"/>
      <c r="H511" s="31"/>
      <c r="I511" s="38"/>
      <c r="J511" s="38"/>
      <c r="K511" s="23">
        <v>0</v>
      </c>
    </row>
    <row r="512" spans="1:11" ht="16.5" thickBot="1">
      <c r="A512" s="18">
        <f t="shared" si="7"/>
        <v>507</v>
      </c>
      <c r="B512" s="36"/>
      <c r="C512" s="37"/>
      <c r="D512" s="37" t="s">
        <v>772</v>
      </c>
      <c r="E512" s="38"/>
      <c r="F512" s="38"/>
      <c r="G512" s="38"/>
      <c r="H512" s="31"/>
      <c r="I512" s="38"/>
      <c r="J512" s="38"/>
      <c r="K512" s="23">
        <v>0</v>
      </c>
    </row>
    <row r="513" spans="1:11" ht="16.5" thickBot="1">
      <c r="A513" s="18">
        <f t="shared" si="7"/>
        <v>508</v>
      </c>
      <c r="B513" s="36"/>
      <c r="C513" s="37"/>
      <c r="D513" s="37" t="s">
        <v>772</v>
      </c>
      <c r="E513" s="38"/>
      <c r="F513" s="38"/>
      <c r="G513" s="38"/>
      <c r="H513" s="31"/>
      <c r="I513" s="38"/>
      <c r="J513" s="38"/>
      <c r="K513" s="23">
        <v>0</v>
      </c>
    </row>
    <row r="514" spans="1:11" ht="16.5" thickBot="1">
      <c r="A514" s="18">
        <f t="shared" si="7"/>
        <v>509</v>
      </c>
      <c r="B514" s="36" t="s">
        <v>993</v>
      </c>
      <c r="C514" s="37" t="s">
        <v>1448</v>
      </c>
      <c r="D514" s="37" t="s">
        <v>807</v>
      </c>
      <c r="E514" s="38"/>
      <c r="F514" s="38"/>
      <c r="G514" s="38"/>
      <c r="H514" s="31"/>
      <c r="I514" s="38"/>
      <c r="J514" s="38"/>
      <c r="K514" s="23">
        <v>0</v>
      </c>
    </row>
    <row r="515" spans="1:11" ht="16.5" thickBot="1">
      <c r="A515" s="18">
        <f t="shared" si="7"/>
        <v>510</v>
      </c>
      <c r="B515" s="36"/>
      <c r="C515" s="37"/>
      <c r="D515" s="37" t="s">
        <v>807</v>
      </c>
      <c r="E515" s="38"/>
      <c r="F515" s="38"/>
      <c r="G515" s="38"/>
      <c r="H515" s="31"/>
      <c r="I515" s="38"/>
      <c r="J515" s="38"/>
      <c r="K515" s="23">
        <v>0</v>
      </c>
    </row>
    <row r="516" spans="1:11" ht="16.5" thickBot="1">
      <c r="A516" s="18">
        <f t="shared" si="7"/>
        <v>511</v>
      </c>
      <c r="B516" s="36"/>
      <c r="C516" s="37"/>
      <c r="D516" s="37" t="s">
        <v>807</v>
      </c>
      <c r="E516" s="38"/>
      <c r="F516" s="38"/>
      <c r="G516" s="38"/>
      <c r="H516" s="31"/>
      <c r="I516" s="38"/>
      <c r="J516" s="38"/>
      <c r="K516" s="23">
        <v>0</v>
      </c>
    </row>
    <row r="517" spans="1:11" ht="16.5" thickBot="1">
      <c r="A517" s="18">
        <f t="shared" si="7"/>
        <v>512</v>
      </c>
      <c r="B517" s="36"/>
      <c r="C517" s="37"/>
      <c r="D517" s="37" t="s">
        <v>807</v>
      </c>
      <c r="E517" s="38"/>
      <c r="F517" s="38"/>
      <c r="G517" s="38"/>
      <c r="H517" s="31"/>
      <c r="I517" s="38"/>
      <c r="J517" s="38"/>
      <c r="K517" s="23">
        <v>0</v>
      </c>
    </row>
    <row r="518" spans="1:11" ht="16.5" thickBot="1">
      <c r="A518" s="18">
        <f t="shared" si="7"/>
        <v>513</v>
      </c>
      <c r="B518" s="36" t="s">
        <v>1203</v>
      </c>
      <c r="C518" s="37" t="s">
        <v>1455</v>
      </c>
      <c r="D518" s="37" t="s">
        <v>501</v>
      </c>
      <c r="E518" s="38"/>
      <c r="F518" s="38"/>
      <c r="G518" s="38"/>
      <c r="H518" s="31"/>
      <c r="I518" s="38"/>
      <c r="J518" s="38"/>
      <c r="K518" s="23">
        <v>0</v>
      </c>
    </row>
    <row r="519" spans="1:11" ht="16.5" thickBot="1">
      <c r="A519" s="18">
        <f t="shared" si="7"/>
        <v>514</v>
      </c>
      <c r="B519" s="36" t="s">
        <v>193</v>
      </c>
      <c r="C519" s="37" t="s">
        <v>1460</v>
      </c>
      <c r="D519" s="37" t="s">
        <v>501</v>
      </c>
      <c r="E519" s="38"/>
      <c r="F519" s="38"/>
      <c r="G519" s="38"/>
      <c r="H519" s="31"/>
      <c r="I519" s="38"/>
      <c r="J519" s="38"/>
      <c r="K519" s="23">
        <v>0</v>
      </c>
    </row>
    <row r="520" spans="1:11" ht="16.5" thickBot="1">
      <c r="A520" s="18">
        <f>A519+1</f>
        <v>515</v>
      </c>
      <c r="B520" s="36" t="s">
        <v>1466</v>
      </c>
      <c r="C520" s="37" t="s">
        <v>1454</v>
      </c>
      <c r="D520" s="37" t="s">
        <v>464</v>
      </c>
      <c r="E520" s="38"/>
      <c r="F520" s="38"/>
      <c r="G520" s="38"/>
      <c r="H520" s="31"/>
      <c r="I520" s="38"/>
      <c r="J520" s="38"/>
      <c r="K520" s="23">
        <v>0</v>
      </c>
    </row>
    <row r="521" spans="1:11" ht="16.5" thickBot="1">
      <c r="A521" s="18">
        <f>A520+1</f>
        <v>516</v>
      </c>
      <c r="B521" s="36" t="s">
        <v>1467</v>
      </c>
      <c r="C521" s="37" t="s">
        <v>1298</v>
      </c>
      <c r="D521" s="37" t="s">
        <v>464</v>
      </c>
      <c r="E521" s="38"/>
      <c r="F521" s="38"/>
      <c r="G521" s="38"/>
      <c r="H521" s="31"/>
      <c r="I521" s="38"/>
      <c r="J521" s="38"/>
      <c r="K521" s="23">
        <v>0</v>
      </c>
    </row>
    <row r="522" spans="1:11" ht="16.5" thickBot="1">
      <c r="A522" s="18">
        <f>A521+1</f>
        <v>517</v>
      </c>
      <c r="B522" s="36"/>
      <c r="C522" s="37"/>
      <c r="D522" s="37" t="s">
        <v>464</v>
      </c>
      <c r="E522" s="38"/>
      <c r="F522" s="38"/>
      <c r="G522" s="38"/>
      <c r="H522" s="31"/>
      <c r="I522" s="38"/>
      <c r="J522" s="38"/>
      <c r="K522" s="23">
        <v>0</v>
      </c>
    </row>
    <row r="523" spans="1:11" ht="16.5" thickBot="1">
      <c r="A523" s="18">
        <f>A522+1</f>
        <v>518</v>
      </c>
      <c r="B523" s="36" t="s">
        <v>1473</v>
      </c>
      <c r="C523" s="37" t="s">
        <v>1474</v>
      </c>
      <c r="D523" s="37" t="s">
        <v>817</v>
      </c>
      <c r="E523" s="38"/>
      <c r="F523" s="38"/>
      <c r="G523" s="38"/>
      <c r="H523" s="31"/>
      <c r="I523" s="38"/>
      <c r="J523" s="38"/>
      <c r="K523" s="23">
        <v>0</v>
      </c>
    </row>
    <row r="524" spans="1:11" ht="15.75">
      <c r="A524" s="39">
        <f>A523+1</f>
        <v>519</v>
      </c>
      <c r="B524" s="32" t="s">
        <v>1506</v>
      </c>
      <c r="C524" s="33" t="s">
        <v>158</v>
      </c>
      <c r="D524" s="33" t="s">
        <v>363</v>
      </c>
      <c r="E524" s="38"/>
      <c r="F524" s="38"/>
      <c r="G524" s="38"/>
      <c r="H524" s="31"/>
      <c r="I524" s="38"/>
      <c r="J524" s="38"/>
      <c r="K524" s="23">
        <v>0</v>
      </c>
    </row>
  </sheetData>
  <mergeCells count="2">
    <mergeCell ref="A1:O1"/>
    <mergeCell ref="A2:M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3"/>
  <sheetViews>
    <sheetView topLeftCell="A67" workbookViewId="0">
      <selection activeCell="B10" sqref="B10"/>
    </sheetView>
  </sheetViews>
  <sheetFormatPr defaultRowHeight="20.25"/>
  <cols>
    <col min="1" max="1" width="7.5703125" style="42" bestFit="1" customWidth="1"/>
    <col min="2" max="2" width="35.85546875" style="42" bestFit="1" customWidth="1"/>
    <col min="3" max="3" width="16.28515625" style="42" bestFit="1" customWidth="1"/>
    <col min="4" max="4" width="18.28515625" style="42" customWidth="1"/>
    <col min="5" max="5" width="17.28515625" style="49" customWidth="1"/>
    <col min="6" max="6" width="18.85546875" style="49" customWidth="1"/>
    <col min="7" max="7" width="12.5703125" style="49" customWidth="1"/>
    <col min="8" max="254" width="9.140625" style="42"/>
    <col min="255" max="255" width="7.5703125" style="42" bestFit="1" customWidth="1"/>
    <col min="256" max="256" width="73.85546875" style="42" bestFit="1" customWidth="1"/>
    <col min="257" max="257" width="16.28515625" style="42" bestFit="1" customWidth="1"/>
    <col min="258" max="258" width="14.28515625" style="42" bestFit="1" customWidth="1"/>
    <col min="259" max="262" width="12.28515625" style="42" bestFit="1" customWidth="1"/>
    <col min="263" max="263" width="11.28515625" style="42" bestFit="1" customWidth="1"/>
    <col min="264" max="510" width="9.140625" style="42"/>
    <col min="511" max="511" width="7.5703125" style="42" bestFit="1" customWidth="1"/>
    <col min="512" max="512" width="73.85546875" style="42" bestFit="1" customWidth="1"/>
    <col min="513" max="513" width="16.28515625" style="42" bestFit="1" customWidth="1"/>
    <col min="514" max="514" width="14.28515625" style="42" bestFit="1" customWidth="1"/>
    <col min="515" max="518" width="12.28515625" style="42" bestFit="1" customWidth="1"/>
    <col min="519" max="519" width="11.28515625" style="42" bestFit="1" customWidth="1"/>
    <col min="520" max="766" width="9.140625" style="42"/>
    <col min="767" max="767" width="7.5703125" style="42" bestFit="1" customWidth="1"/>
    <col min="768" max="768" width="73.85546875" style="42" bestFit="1" customWidth="1"/>
    <col min="769" max="769" width="16.28515625" style="42" bestFit="1" customWidth="1"/>
    <col min="770" max="770" width="14.28515625" style="42" bestFit="1" customWidth="1"/>
    <col min="771" max="774" width="12.28515625" style="42" bestFit="1" customWidth="1"/>
    <col min="775" max="775" width="11.28515625" style="42" bestFit="1" customWidth="1"/>
    <col min="776" max="1022" width="9.140625" style="42"/>
    <col min="1023" max="1023" width="7.5703125" style="42" bestFit="1" customWidth="1"/>
    <col min="1024" max="1024" width="73.85546875" style="42" bestFit="1" customWidth="1"/>
    <col min="1025" max="1025" width="16.28515625" style="42" bestFit="1" customWidth="1"/>
    <col min="1026" max="1026" width="14.28515625" style="42" bestFit="1" customWidth="1"/>
    <col min="1027" max="1030" width="12.28515625" style="42" bestFit="1" customWidth="1"/>
    <col min="1031" max="1031" width="11.28515625" style="42" bestFit="1" customWidth="1"/>
    <col min="1032" max="1278" width="9.140625" style="42"/>
    <col min="1279" max="1279" width="7.5703125" style="42" bestFit="1" customWidth="1"/>
    <col min="1280" max="1280" width="73.85546875" style="42" bestFit="1" customWidth="1"/>
    <col min="1281" max="1281" width="16.28515625" style="42" bestFit="1" customWidth="1"/>
    <col min="1282" max="1282" width="14.28515625" style="42" bestFit="1" customWidth="1"/>
    <col min="1283" max="1286" width="12.28515625" style="42" bestFit="1" customWidth="1"/>
    <col min="1287" max="1287" width="11.28515625" style="42" bestFit="1" customWidth="1"/>
    <col min="1288" max="1534" width="9.140625" style="42"/>
    <col min="1535" max="1535" width="7.5703125" style="42" bestFit="1" customWidth="1"/>
    <col min="1536" max="1536" width="73.85546875" style="42" bestFit="1" customWidth="1"/>
    <col min="1537" max="1537" width="16.28515625" style="42" bestFit="1" customWidth="1"/>
    <col min="1538" max="1538" width="14.28515625" style="42" bestFit="1" customWidth="1"/>
    <col min="1539" max="1542" width="12.28515625" style="42" bestFit="1" customWidth="1"/>
    <col min="1543" max="1543" width="11.28515625" style="42" bestFit="1" customWidth="1"/>
    <col min="1544" max="1790" width="9.140625" style="42"/>
    <col min="1791" max="1791" width="7.5703125" style="42" bestFit="1" customWidth="1"/>
    <col min="1792" max="1792" width="73.85546875" style="42" bestFit="1" customWidth="1"/>
    <col min="1793" max="1793" width="16.28515625" style="42" bestFit="1" customWidth="1"/>
    <col min="1794" max="1794" width="14.28515625" style="42" bestFit="1" customWidth="1"/>
    <col min="1795" max="1798" width="12.28515625" style="42" bestFit="1" customWidth="1"/>
    <col min="1799" max="1799" width="11.28515625" style="42" bestFit="1" customWidth="1"/>
    <col min="1800" max="2046" width="9.140625" style="42"/>
    <col min="2047" max="2047" width="7.5703125" style="42" bestFit="1" customWidth="1"/>
    <col min="2048" max="2048" width="73.85546875" style="42" bestFit="1" customWidth="1"/>
    <col min="2049" max="2049" width="16.28515625" style="42" bestFit="1" customWidth="1"/>
    <col min="2050" max="2050" width="14.28515625" style="42" bestFit="1" customWidth="1"/>
    <col min="2051" max="2054" width="12.28515625" style="42" bestFit="1" customWidth="1"/>
    <col min="2055" max="2055" width="11.28515625" style="42" bestFit="1" customWidth="1"/>
    <col min="2056" max="2302" width="9.140625" style="42"/>
    <col min="2303" max="2303" width="7.5703125" style="42" bestFit="1" customWidth="1"/>
    <col min="2304" max="2304" width="73.85546875" style="42" bestFit="1" customWidth="1"/>
    <col min="2305" max="2305" width="16.28515625" style="42" bestFit="1" customWidth="1"/>
    <col min="2306" max="2306" width="14.28515625" style="42" bestFit="1" customWidth="1"/>
    <col min="2307" max="2310" width="12.28515625" style="42" bestFit="1" customWidth="1"/>
    <col min="2311" max="2311" width="11.28515625" style="42" bestFit="1" customWidth="1"/>
    <col min="2312" max="2558" width="9.140625" style="42"/>
    <col min="2559" max="2559" width="7.5703125" style="42" bestFit="1" customWidth="1"/>
    <col min="2560" max="2560" width="73.85546875" style="42" bestFit="1" customWidth="1"/>
    <col min="2561" max="2561" width="16.28515625" style="42" bestFit="1" customWidth="1"/>
    <col min="2562" max="2562" width="14.28515625" style="42" bestFit="1" customWidth="1"/>
    <col min="2563" max="2566" width="12.28515625" style="42" bestFit="1" customWidth="1"/>
    <col min="2567" max="2567" width="11.28515625" style="42" bestFit="1" customWidth="1"/>
    <col min="2568" max="2814" width="9.140625" style="42"/>
    <col min="2815" max="2815" width="7.5703125" style="42" bestFit="1" customWidth="1"/>
    <col min="2816" max="2816" width="73.85546875" style="42" bestFit="1" customWidth="1"/>
    <col min="2817" max="2817" width="16.28515625" style="42" bestFit="1" customWidth="1"/>
    <col min="2818" max="2818" width="14.28515625" style="42" bestFit="1" customWidth="1"/>
    <col min="2819" max="2822" width="12.28515625" style="42" bestFit="1" customWidth="1"/>
    <col min="2823" max="2823" width="11.28515625" style="42" bestFit="1" customWidth="1"/>
    <col min="2824" max="3070" width="9.140625" style="42"/>
    <col min="3071" max="3071" width="7.5703125" style="42" bestFit="1" customWidth="1"/>
    <col min="3072" max="3072" width="73.85546875" style="42" bestFit="1" customWidth="1"/>
    <col min="3073" max="3073" width="16.28515625" style="42" bestFit="1" customWidth="1"/>
    <col min="3074" max="3074" width="14.28515625" style="42" bestFit="1" customWidth="1"/>
    <col min="3075" max="3078" width="12.28515625" style="42" bestFit="1" customWidth="1"/>
    <col min="3079" max="3079" width="11.28515625" style="42" bestFit="1" customWidth="1"/>
    <col min="3080" max="3326" width="9.140625" style="42"/>
    <col min="3327" max="3327" width="7.5703125" style="42" bestFit="1" customWidth="1"/>
    <col min="3328" max="3328" width="73.85546875" style="42" bestFit="1" customWidth="1"/>
    <col min="3329" max="3329" width="16.28515625" style="42" bestFit="1" customWidth="1"/>
    <col min="3330" max="3330" width="14.28515625" style="42" bestFit="1" customWidth="1"/>
    <col min="3331" max="3334" width="12.28515625" style="42" bestFit="1" customWidth="1"/>
    <col min="3335" max="3335" width="11.28515625" style="42" bestFit="1" customWidth="1"/>
    <col min="3336" max="3582" width="9.140625" style="42"/>
    <col min="3583" max="3583" width="7.5703125" style="42" bestFit="1" customWidth="1"/>
    <col min="3584" max="3584" width="73.85546875" style="42" bestFit="1" customWidth="1"/>
    <col min="3585" max="3585" width="16.28515625" style="42" bestFit="1" customWidth="1"/>
    <col min="3586" max="3586" width="14.28515625" style="42" bestFit="1" customWidth="1"/>
    <col min="3587" max="3590" width="12.28515625" style="42" bestFit="1" customWidth="1"/>
    <col min="3591" max="3591" width="11.28515625" style="42" bestFit="1" customWidth="1"/>
    <col min="3592" max="3838" width="9.140625" style="42"/>
    <col min="3839" max="3839" width="7.5703125" style="42" bestFit="1" customWidth="1"/>
    <col min="3840" max="3840" width="73.85546875" style="42" bestFit="1" customWidth="1"/>
    <col min="3841" max="3841" width="16.28515625" style="42" bestFit="1" customWidth="1"/>
    <col min="3842" max="3842" width="14.28515625" style="42" bestFit="1" customWidth="1"/>
    <col min="3843" max="3846" width="12.28515625" style="42" bestFit="1" customWidth="1"/>
    <col min="3847" max="3847" width="11.28515625" style="42" bestFit="1" customWidth="1"/>
    <col min="3848" max="4094" width="9.140625" style="42"/>
    <col min="4095" max="4095" width="7.5703125" style="42" bestFit="1" customWidth="1"/>
    <col min="4096" max="4096" width="73.85546875" style="42" bestFit="1" customWidth="1"/>
    <col min="4097" max="4097" width="16.28515625" style="42" bestFit="1" customWidth="1"/>
    <col min="4098" max="4098" width="14.28515625" style="42" bestFit="1" customWidth="1"/>
    <col min="4099" max="4102" width="12.28515625" style="42" bestFit="1" customWidth="1"/>
    <col min="4103" max="4103" width="11.28515625" style="42" bestFit="1" customWidth="1"/>
    <col min="4104" max="4350" width="9.140625" style="42"/>
    <col min="4351" max="4351" width="7.5703125" style="42" bestFit="1" customWidth="1"/>
    <col min="4352" max="4352" width="73.85546875" style="42" bestFit="1" customWidth="1"/>
    <col min="4353" max="4353" width="16.28515625" style="42" bestFit="1" customWidth="1"/>
    <col min="4354" max="4354" width="14.28515625" style="42" bestFit="1" customWidth="1"/>
    <col min="4355" max="4358" width="12.28515625" style="42" bestFit="1" customWidth="1"/>
    <col min="4359" max="4359" width="11.28515625" style="42" bestFit="1" customWidth="1"/>
    <col min="4360" max="4606" width="9.140625" style="42"/>
    <col min="4607" max="4607" width="7.5703125" style="42" bestFit="1" customWidth="1"/>
    <col min="4608" max="4608" width="73.85546875" style="42" bestFit="1" customWidth="1"/>
    <col min="4609" max="4609" width="16.28515625" style="42" bestFit="1" customWidth="1"/>
    <col min="4610" max="4610" width="14.28515625" style="42" bestFit="1" customWidth="1"/>
    <col min="4611" max="4614" width="12.28515625" style="42" bestFit="1" customWidth="1"/>
    <col min="4615" max="4615" width="11.28515625" style="42" bestFit="1" customWidth="1"/>
    <col min="4616" max="4862" width="9.140625" style="42"/>
    <col min="4863" max="4863" width="7.5703125" style="42" bestFit="1" customWidth="1"/>
    <col min="4864" max="4864" width="73.85546875" style="42" bestFit="1" customWidth="1"/>
    <col min="4865" max="4865" width="16.28515625" style="42" bestFit="1" customWidth="1"/>
    <col min="4866" max="4866" width="14.28515625" style="42" bestFit="1" customWidth="1"/>
    <col min="4867" max="4870" width="12.28515625" style="42" bestFit="1" customWidth="1"/>
    <col min="4871" max="4871" width="11.28515625" style="42" bestFit="1" customWidth="1"/>
    <col min="4872" max="5118" width="9.140625" style="42"/>
    <col min="5119" max="5119" width="7.5703125" style="42" bestFit="1" customWidth="1"/>
    <col min="5120" max="5120" width="73.85546875" style="42" bestFit="1" customWidth="1"/>
    <col min="5121" max="5121" width="16.28515625" style="42" bestFit="1" customWidth="1"/>
    <col min="5122" max="5122" width="14.28515625" style="42" bestFit="1" customWidth="1"/>
    <col min="5123" max="5126" width="12.28515625" style="42" bestFit="1" customWidth="1"/>
    <col min="5127" max="5127" width="11.28515625" style="42" bestFit="1" customWidth="1"/>
    <col min="5128" max="5374" width="9.140625" style="42"/>
    <col min="5375" max="5375" width="7.5703125" style="42" bestFit="1" customWidth="1"/>
    <col min="5376" max="5376" width="73.85546875" style="42" bestFit="1" customWidth="1"/>
    <col min="5377" max="5377" width="16.28515625" style="42" bestFit="1" customWidth="1"/>
    <col min="5378" max="5378" width="14.28515625" style="42" bestFit="1" customWidth="1"/>
    <col min="5379" max="5382" width="12.28515625" style="42" bestFit="1" customWidth="1"/>
    <col min="5383" max="5383" width="11.28515625" style="42" bestFit="1" customWidth="1"/>
    <col min="5384" max="5630" width="9.140625" style="42"/>
    <col min="5631" max="5631" width="7.5703125" style="42" bestFit="1" customWidth="1"/>
    <col min="5632" max="5632" width="73.85546875" style="42" bestFit="1" customWidth="1"/>
    <col min="5633" max="5633" width="16.28515625" style="42" bestFit="1" customWidth="1"/>
    <col min="5634" max="5634" width="14.28515625" style="42" bestFit="1" customWidth="1"/>
    <col min="5635" max="5638" width="12.28515625" style="42" bestFit="1" customWidth="1"/>
    <col min="5639" max="5639" width="11.28515625" style="42" bestFit="1" customWidth="1"/>
    <col min="5640" max="5886" width="9.140625" style="42"/>
    <col min="5887" max="5887" width="7.5703125" style="42" bestFit="1" customWidth="1"/>
    <col min="5888" max="5888" width="73.85546875" style="42" bestFit="1" customWidth="1"/>
    <col min="5889" max="5889" width="16.28515625" style="42" bestFit="1" customWidth="1"/>
    <col min="5890" max="5890" width="14.28515625" style="42" bestFit="1" customWidth="1"/>
    <col min="5891" max="5894" width="12.28515625" style="42" bestFit="1" customWidth="1"/>
    <col min="5895" max="5895" width="11.28515625" style="42" bestFit="1" customWidth="1"/>
    <col min="5896" max="6142" width="9.140625" style="42"/>
    <col min="6143" max="6143" width="7.5703125" style="42" bestFit="1" customWidth="1"/>
    <col min="6144" max="6144" width="73.85546875" style="42" bestFit="1" customWidth="1"/>
    <col min="6145" max="6145" width="16.28515625" style="42" bestFit="1" customWidth="1"/>
    <col min="6146" max="6146" width="14.28515625" style="42" bestFit="1" customWidth="1"/>
    <col min="6147" max="6150" width="12.28515625" style="42" bestFit="1" customWidth="1"/>
    <col min="6151" max="6151" width="11.28515625" style="42" bestFit="1" customWidth="1"/>
    <col min="6152" max="6398" width="9.140625" style="42"/>
    <col min="6399" max="6399" width="7.5703125" style="42" bestFit="1" customWidth="1"/>
    <col min="6400" max="6400" width="73.85546875" style="42" bestFit="1" customWidth="1"/>
    <col min="6401" max="6401" width="16.28515625" style="42" bestFit="1" customWidth="1"/>
    <col min="6402" max="6402" width="14.28515625" style="42" bestFit="1" customWidth="1"/>
    <col min="6403" max="6406" width="12.28515625" style="42" bestFit="1" customWidth="1"/>
    <col min="6407" max="6407" width="11.28515625" style="42" bestFit="1" customWidth="1"/>
    <col min="6408" max="6654" width="9.140625" style="42"/>
    <col min="6655" max="6655" width="7.5703125" style="42" bestFit="1" customWidth="1"/>
    <col min="6656" max="6656" width="73.85546875" style="42" bestFit="1" customWidth="1"/>
    <col min="6657" max="6657" width="16.28515625" style="42" bestFit="1" customWidth="1"/>
    <col min="6658" max="6658" width="14.28515625" style="42" bestFit="1" customWidth="1"/>
    <col min="6659" max="6662" width="12.28515625" style="42" bestFit="1" customWidth="1"/>
    <col min="6663" max="6663" width="11.28515625" style="42" bestFit="1" customWidth="1"/>
    <col min="6664" max="6910" width="9.140625" style="42"/>
    <col min="6911" max="6911" width="7.5703125" style="42" bestFit="1" customWidth="1"/>
    <col min="6912" max="6912" width="73.85546875" style="42" bestFit="1" customWidth="1"/>
    <col min="6913" max="6913" width="16.28515625" style="42" bestFit="1" customWidth="1"/>
    <col min="6914" max="6914" width="14.28515625" style="42" bestFit="1" customWidth="1"/>
    <col min="6915" max="6918" width="12.28515625" style="42" bestFit="1" customWidth="1"/>
    <col min="6919" max="6919" width="11.28515625" style="42" bestFit="1" customWidth="1"/>
    <col min="6920" max="7166" width="9.140625" style="42"/>
    <col min="7167" max="7167" width="7.5703125" style="42" bestFit="1" customWidth="1"/>
    <col min="7168" max="7168" width="73.85546875" style="42" bestFit="1" customWidth="1"/>
    <col min="7169" max="7169" width="16.28515625" style="42" bestFit="1" customWidth="1"/>
    <col min="7170" max="7170" width="14.28515625" style="42" bestFit="1" customWidth="1"/>
    <col min="7171" max="7174" width="12.28515625" style="42" bestFit="1" customWidth="1"/>
    <col min="7175" max="7175" width="11.28515625" style="42" bestFit="1" customWidth="1"/>
    <col min="7176" max="7422" width="9.140625" style="42"/>
    <col min="7423" max="7423" width="7.5703125" style="42" bestFit="1" customWidth="1"/>
    <col min="7424" max="7424" width="73.85546875" style="42" bestFit="1" customWidth="1"/>
    <col min="7425" max="7425" width="16.28515625" style="42" bestFit="1" customWidth="1"/>
    <col min="7426" max="7426" width="14.28515625" style="42" bestFit="1" customWidth="1"/>
    <col min="7427" max="7430" width="12.28515625" style="42" bestFit="1" customWidth="1"/>
    <col min="7431" max="7431" width="11.28515625" style="42" bestFit="1" customWidth="1"/>
    <col min="7432" max="7678" width="9.140625" style="42"/>
    <col min="7679" max="7679" width="7.5703125" style="42" bestFit="1" customWidth="1"/>
    <col min="7680" max="7680" width="73.85546875" style="42" bestFit="1" customWidth="1"/>
    <col min="7681" max="7681" width="16.28515625" style="42" bestFit="1" customWidth="1"/>
    <col min="7682" max="7682" width="14.28515625" style="42" bestFit="1" customWidth="1"/>
    <col min="7683" max="7686" width="12.28515625" style="42" bestFit="1" customWidth="1"/>
    <col min="7687" max="7687" width="11.28515625" style="42" bestFit="1" customWidth="1"/>
    <col min="7688" max="7934" width="9.140625" style="42"/>
    <col min="7935" max="7935" width="7.5703125" style="42" bestFit="1" customWidth="1"/>
    <col min="7936" max="7936" width="73.85546875" style="42" bestFit="1" customWidth="1"/>
    <col min="7937" max="7937" width="16.28515625" style="42" bestFit="1" customWidth="1"/>
    <col min="7938" max="7938" width="14.28515625" style="42" bestFit="1" customWidth="1"/>
    <col min="7939" max="7942" width="12.28515625" style="42" bestFit="1" customWidth="1"/>
    <col min="7943" max="7943" width="11.28515625" style="42" bestFit="1" customWidth="1"/>
    <col min="7944" max="8190" width="9.140625" style="42"/>
    <col min="8191" max="8191" width="7.5703125" style="42" bestFit="1" customWidth="1"/>
    <col min="8192" max="8192" width="73.85546875" style="42" bestFit="1" customWidth="1"/>
    <col min="8193" max="8193" width="16.28515625" style="42" bestFit="1" customWidth="1"/>
    <col min="8194" max="8194" width="14.28515625" style="42" bestFit="1" customWidth="1"/>
    <col min="8195" max="8198" width="12.28515625" style="42" bestFit="1" customWidth="1"/>
    <col min="8199" max="8199" width="11.28515625" style="42" bestFit="1" customWidth="1"/>
    <col min="8200" max="8446" width="9.140625" style="42"/>
    <col min="8447" max="8447" width="7.5703125" style="42" bestFit="1" customWidth="1"/>
    <col min="8448" max="8448" width="73.85546875" style="42" bestFit="1" customWidth="1"/>
    <col min="8449" max="8449" width="16.28515625" style="42" bestFit="1" customWidth="1"/>
    <col min="8450" max="8450" width="14.28515625" style="42" bestFit="1" customWidth="1"/>
    <col min="8451" max="8454" width="12.28515625" style="42" bestFit="1" customWidth="1"/>
    <col min="8455" max="8455" width="11.28515625" style="42" bestFit="1" customWidth="1"/>
    <col min="8456" max="8702" width="9.140625" style="42"/>
    <col min="8703" max="8703" width="7.5703125" style="42" bestFit="1" customWidth="1"/>
    <col min="8704" max="8704" width="73.85546875" style="42" bestFit="1" customWidth="1"/>
    <col min="8705" max="8705" width="16.28515625" style="42" bestFit="1" customWidth="1"/>
    <col min="8706" max="8706" width="14.28515625" style="42" bestFit="1" customWidth="1"/>
    <col min="8707" max="8710" width="12.28515625" style="42" bestFit="1" customWidth="1"/>
    <col min="8711" max="8711" width="11.28515625" style="42" bestFit="1" customWidth="1"/>
    <col min="8712" max="8958" width="9.140625" style="42"/>
    <col min="8959" max="8959" width="7.5703125" style="42" bestFit="1" customWidth="1"/>
    <col min="8960" max="8960" width="73.85546875" style="42" bestFit="1" customWidth="1"/>
    <col min="8961" max="8961" width="16.28515625" style="42" bestFit="1" customWidth="1"/>
    <col min="8962" max="8962" width="14.28515625" style="42" bestFit="1" customWidth="1"/>
    <col min="8963" max="8966" width="12.28515625" style="42" bestFit="1" customWidth="1"/>
    <col min="8967" max="8967" width="11.28515625" style="42" bestFit="1" customWidth="1"/>
    <col min="8968" max="9214" width="9.140625" style="42"/>
    <col min="9215" max="9215" width="7.5703125" style="42" bestFit="1" customWidth="1"/>
    <col min="9216" max="9216" width="73.85546875" style="42" bestFit="1" customWidth="1"/>
    <col min="9217" max="9217" width="16.28515625" style="42" bestFit="1" customWidth="1"/>
    <col min="9218" max="9218" width="14.28515625" style="42" bestFit="1" customWidth="1"/>
    <col min="9219" max="9222" width="12.28515625" style="42" bestFit="1" customWidth="1"/>
    <col min="9223" max="9223" width="11.28515625" style="42" bestFit="1" customWidth="1"/>
    <col min="9224" max="9470" width="9.140625" style="42"/>
    <col min="9471" max="9471" width="7.5703125" style="42" bestFit="1" customWidth="1"/>
    <col min="9472" max="9472" width="73.85546875" style="42" bestFit="1" customWidth="1"/>
    <col min="9473" max="9473" width="16.28515625" style="42" bestFit="1" customWidth="1"/>
    <col min="9474" max="9474" width="14.28515625" style="42" bestFit="1" customWidth="1"/>
    <col min="9475" max="9478" width="12.28515625" style="42" bestFit="1" customWidth="1"/>
    <col min="9479" max="9479" width="11.28515625" style="42" bestFit="1" customWidth="1"/>
    <col min="9480" max="9726" width="9.140625" style="42"/>
    <col min="9727" max="9727" width="7.5703125" style="42" bestFit="1" customWidth="1"/>
    <col min="9728" max="9728" width="73.85546875" style="42" bestFit="1" customWidth="1"/>
    <col min="9729" max="9729" width="16.28515625" style="42" bestFit="1" customWidth="1"/>
    <col min="9730" max="9730" width="14.28515625" style="42" bestFit="1" customWidth="1"/>
    <col min="9731" max="9734" width="12.28515625" style="42" bestFit="1" customWidth="1"/>
    <col min="9735" max="9735" width="11.28515625" style="42" bestFit="1" customWidth="1"/>
    <col min="9736" max="9982" width="9.140625" style="42"/>
    <col min="9983" max="9983" width="7.5703125" style="42" bestFit="1" customWidth="1"/>
    <col min="9984" max="9984" width="73.85546875" style="42" bestFit="1" customWidth="1"/>
    <col min="9985" max="9985" width="16.28515625" style="42" bestFit="1" customWidth="1"/>
    <col min="9986" max="9986" width="14.28515625" style="42" bestFit="1" customWidth="1"/>
    <col min="9987" max="9990" width="12.28515625" style="42" bestFit="1" customWidth="1"/>
    <col min="9991" max="9991" width="11.28515625" style="42" bestFit="1" customWidth="1"/>
    <col min="9992" max="10238" width="9.140625" style="42"/>
    <col min="10239" max="10239" width="7.5703125" style="42" bestFit="1" customWidth="1"/>
    <col min="10240" max="10240" width="73.85546875" style="42" bestFit="1" customWidth="1"/>
    <col min="10241" max="10241" width="16.28515625" style="42" bestFit="1" customWidth="1"/>
    <col min="10242" max="10242" width="14.28515625" style="42" bestFit="1" customWidth="1"/>
    <col min="10243" max="10246" width="12.28515625" style="42" bestFit="1" customWidth="1"/>
    <col min="10247" max="10247" width="11.28515625" style="42" bestFit="1" customWidth="1"/>
    <col min="10248" max="10494" width="9.140625" style="42"/>
    <col min="10495" max="10495" width="7.5703125" style="42" bestFit="1" customWidth="1"/>
    <col min="10496" max="10496" width="73.85546875" style="42" bestFit="1" customWidth="1"/>
    <col min="10497" max="10497" width="16.28515625" style="42" bestFit="1" customWidth="1"/>
    <col min="10498" max="10498" width="14.28515625" style="42" bestFit="1" customWidth="1"/>
    <col min="10499" max="10502" width="12.28515625" style="42" bestFit="1" customWidth="1"/>
    <col min="10503" max="10503" width="11.28515625" style="42" bestFit="1" customWidth="1"/>
    <col min="10504" max="10750" width="9.140625" style="42"/>
    <col min="10751" max="10751" width="7.5703125" style="42" bestFit="1" customWidth="1"/>
    <col min="10752" max="10752" width="73.85546875" style="42" bestFit="1" customWidth="1"/>
    <col min="10753" max="10753" width="16.28515625" style="42" bestFit="1" customWidth="1"/>
    <col min="10754" max="10754" width="14.28515625" style="42" bestFit="1" customWidth="1"/>
    <col min="10755" max="10758" width="12.28515625" style="42" bestFit="1" customWidth="1"/>
    <col min="10759" max="10759" width="11.28515625" style="42" bestFit="1" customWidth="1"/>
    <col min="10760" max="11006" width="9.140625" style="42"/>
    <col min="11007" max="11007" width="7.5703125" style="42" bestFit="1" customWidth="1"/>
    <col min="11008" max="11008" width="73.85546875" style="42" bestFit="1" customWidth="1"/>
    <col min="11009" max="11009" width="16.28515625" style="42" bestFit="1" customWidth="1"/>
    <col min="11010" max="11010" width="14.28515625" style="42" bestFit="1" customWidth="1"/>
    <col min="11011" max="11014" width="12.28515625" style="42" bestFit="1" customWidth="1"/>
    <col min="11015" max="11015" width="11.28515625" style="42" bestFit="1" customWidth="1"/>
    <col min="11016" max="11262" width="9.140625" style="42"/>
    <col min="11263" max="11263" width="7.5703125" style="42" bestFit="1" customWidth="1"/>
    <col min="11264" max="11264" width="73.85546875" style="42" bestFit="1" customWidth="1"/>
    <col min="11265" max="11265" width="16.28515625" style="42" bestFit="1" customWidth="1"/>
    <col min="11266" max="11266" width="14.28515625" style="42" bestFit="1" customWidth="1"/>
    <col min="11267" max="11270" width="12.28515625" style="42" bestFit="1" customWidth="1"/>
    <col min="11271" max="11271" width="11.28515625" style="42" bestFit="1" customWidth="1"/>
    <col min="11272" max="11518" width="9.140625" style="42"/>
    <col min="11519" max="11519" width="7.5703125" style="42" bestFit="1" customWidth="1"/>
    <col min="11520" max="11520" width="73.85546875" style="42" bestFit="1" customWidth="1"/>
    <col min="11521" max="11521" width="16.28515625" style="42" bestFit="1" customWidth="1"/>
    <col min="11522" max="11522" width="14.28515625" style="42" bestFit="1" customWidth="1"/>
    <col min="11523" max="11526" width="12.28515625" style="42" bestFit="1" customWidth="1"/>
    <col min="11527" max="11527" width="11.28515625" style="42" bestFit="1" customWidth="1"/>
    <col min="11528" max="11774" width="9.140625" style="42"/>
    <col min="11775" max="11775" width="7.5703125" style="42" bestFit="1" customWidth="1"/>
    <col min="11776" max="11776" width="73.85546875" style="42" bestFit="1" customWidth="1"/>
    <col min="11777" max="11777" width="16.28515625" style="42" bestFit="1" customWidth="1"/>
    <col min="11778" max="11778" width="14.28515625" style="42" bestFit="1" customWidth="1"/>
    <col min="11779" max="11782" width="12.28515625" style="42" bestFit="1" customWidth="1"/>
    <col min="11783" max="11783" width="11.28515625" style="42" bestFit="1" customWidth="1"/>
    <col min="11784" max="12030" width="9.140625" style="42"/>
    <col min="12031" max="12031" width="7.5703125" style="42" bestFit="1" customWidth="1"/>
    <col min="12032" max="12032" width="73.85546875" style="42" bestFit="1" customWidth="1"/>
    <col min="12033" max="12033" width="16.28515625" style="42" bestFit="1" customWidth="1"/>
    <col min="12034" max="12034" width="14.28515625" style="42" bestFit="1" customWidth="1"/>
    <col min="12035" max="12038" width="12.28515625" style="42" bestFit="1" customWidth="1"/>
    <col min="12039" max="12039" width="11.28515625" style="42" bestFit="1" customWidth="1"/>
    <col min="12040" max="12286" width="9.140625" style="42"/>
    <col min="12287" max="12287" width="7.5703125" style="42" bestFit="1" customWidth="1"/>
    <col min="12288" max="12288" width="73.85546875" style="42" bestFit="1" customWidth="1"/>
    <col min="12289" max="12289" width="16.28515625" style="42" bestFit="1" customWidth="1"/>
    <col min="12290" max="12290" width="14.28515625" style="42" bestFit="1" customWidth="1"/>
    <col min="12291" max="12294" width="12.28515625" style="42" bestFit="1" customWidth="1"/>
    <col min="12295" max="12295" width="11.28515625" style="42" bestFit="1" customWidth="1"/>
    <col min="12296" max="12542" width="9.140625" style="42"/>
    <col min="12543" max="12543" width="7.5703125" style="42" bestFit="1" customWidth="1"/>
    <col min="12544" max="12544" width="73.85546875" style="42" bestFit="1" customWidth="1"/>
    <col min="12545" max="12545" width="16.28515625" style="42" bestFit="1" customWidth="1"/>
    <col min="12546" max="12546" width="14.28515625" style="42" bestFit="1" customWidth="1"/>
    <col min="12547" max="12550" width="12.28515625" style="42" bestFit="1" customWidth="1"/>
    <col min="12551" max="12551" width="11.28515625" style="42" bestFit="1" customWidth="1"/>
    <col min="12552" max="12798" width="9.140625" style="42"/>
    <col min="12799" max="12799" width="7.5703125" style="42" bestFit="1" customWidth="1"/>
    <col min="12800" max="12800" width="73.85546875" style="42" bestFit="1" customWidth="1"/>
    <col min="12801" max="12801" width="16.28515625" style="42" bestFit="1" customWidth="1"/>
    <col min="12802" max="12802" width="14.28515625" style="42" bestFit="1" customWidth="1"/>
    <col min="12803" max="12806" width="12.28515625" style="42" bestFit="1" customWidth="1"/>
    <col min="12807" max="12807" width="11.28515625" style="42" bestFit="1" customWidth="1"/>
    <col min="12808" max="13054" width="9.140625" style="42"/>
    <col min="13055" max="13055" width="7.5703125" style="42" bestFit="1" customWidth="1"/>
    <col min="13056" max="13056" width="73.85546875" style="42" bestFit="1" customWidth="1"/>
    <col min="13057" max="13057" width="16.28515625" style="42" bestFit="1" customWidth="1"/>
    <col min="13058" max="13058" width="14.28515625" style="42" bestFit="1" customWidth="1"/>
    <col min="13059" max="13062" width="12.28515625" style="42" bestFit="1" customWidth="1"/>
    <col min="13063" max="13063" width="11.28515625" style="42" bestFit="1" customWidth="1"/>
    <col min="13064" max="13310" width="9.140625" style="42"/>
    <col min="13311" max="13311" width="7.5703125" style="42" bestFit="1" customWidth="1"/>
    <col min="13312" max="13312" width="73.85546875" style="42" bestFit="1" customWidth="1"/>
    <col min="13313" max="13313" width="16.28515625" style="42" bestFit="1" customWidth="1"/>
    <col min="13314" max="13314" width="14.28515625" style="42" bestFit="1" customWidth="1"/>
    <col min="13315" max="13318" width="12.28515625" style="42" bestFit="1" customWidth="1"/>
    <col min="13319" max="13319" width="11.28515625" style="42" bestFit="1" customWidth="1"/>
    <col min="13320" max="13566" width="9.140625" style="42"/>
    <col min="13567" max="13567" width="7.5703125" style="42" bestFit="1" customWidth="1"/>
    <col min="13568" max="13568" width="73.85546875" style="42" bestFit="1" customWidth="1"/>
    <col min="13569" max="13569" width="16.28515625" style="42" bestFit="1" customWidth="1"/>
    <col min="13570" max="13570" width="14.28515625" style="42" bestFit="1" customWidth="1"/>
    <col min="13571" max="13574" width="12.28515625" style="42" bestFit="1" customWidth="1"/>
    <col min="13575" max="13575" width="11.28515625" style="42" bestFit="1" customWidth="1"/>
    <col min="13576" max="13822" width="9.140625" style="42"/>
    <col min="13823" max="13823" width="7.5703125" style="42" bestFit="1" customWidth="1"/>
    <col min="13824" max="13824" width="73.85546875" style="42" bestFit="1" customWidth="1"/>
    <col min="13825" max="13825" width="16.28515625" style="42" bestFit="1" customWidth="1"/>
    <col min="13826" max="13826" width="14.28515625" style="42" bestFit="1" customWidth="1"/>
    <col min="13827" max="13830" width="12.28515625" style="42" bestFit="1" customWidth="1"/>
    <col min="13831" max="13831" width="11.28515625" style="42" bestFit="1" customWidth="1"/>
    <col min="13832" max="14078" width="9.140625" style="42"/>
    <col min="14079" max="14079" width="7.5703125" style="42" bestFit="1" customWidth="1"/>
    <col min="14080" max="14080" width="73.85546875" style="42" bestFit="1" customWidth="1"/>
    <col min="14081" max="14081" width="16.28515625" style="42" bestFit="1" customWidth="1"/>
    <col min="14082" max="14082" width="14.28515625" style="42" bestFit="1" customWidth="1"/>
    <col min="14083" max="14086" width="12.28515625" style="42" bestFit="1" customWidth="1"/>
    <col min="14087" max="14087" width="11.28515625" style="42" bestFit="1" customWidth="1"/>
    <col min="14088" max="14334" width="9.140625" style="42"/>
    <col min="14335" max="14335" width="7.5703125" style="42" bestFit="1" customWidth="1"/>
    <col min="14336" max="14336" width="73.85546875" style="42" bestFit="1" customWidth="1"/>
    <col min="14337" max="14337" width="16.28515625" style="42" bestFit="1" customWidth="1"/>
    <col min="14338" max="14338" width="14.28515625" style="42" bestFit="1" customWidth="1"/>
    <col min="14339" max="14342" width="12.28515625" style="42" bestFit="1" customWidth="1"/>
    <col min="14343" max="14343" width="11.28515625" style="42" bestFit="1" customWidth="1"/>
    <col min="14344" max="14590" width="9.140625" style="42"/>
    <col min="14591" max="14591" width="7.5703125" style="42" bestFit="1" customWidth="1"/>
    <col min="14592" max="14592" width="73.85546875" style="42" bestFit="1" customWidth="1"/>
    <col min="14593" max="14593" width="16.28515625" style="42" bestFit="1" customWidth="1"/>
    <col min="14594" max="14594" width="14.28515625" style="42" bestFit="1" customWidth="1"/>
    <col min="14595" max="14598" width="12.28515625" style="42" bestFit="1" customWidth="1"/>
    <col min="14599" max="14599" width="11.28515625" style="42" bestFit="1" customWidth="1"/>
    <col min="14600" max="14846" width="9.140625" style="42"/>
    <col min="14847" max="14847" width="7.5703125" style="42" bestFit="1" customWidth="1"/>
    <col min="14848" max="14848" width="73.85546875" style="42" bestFit="1" customWidth="1"/>
    <col min="14849" max="14849" width="16.28515625" style="42" bestFit="1" customWidth="1"/>
    <col min="14850" max="14850" width="14.28515625" style="42" bestFit="1" customWidth="1"/>
    <col min="14851" max="14854" width="12.28515625" style="42" bestFit="1" customWidth="1"/>
    <col min="14855" max="14855" width="11.28515625" style="42" bestFit="1" customWidth="1"/>
    <col min="14856" max="15102" width="9.140625" style="42"/>
    <col min="15103" max="15103" width="7.5703125" style="42" bestFit="1" customWidth="1"/>
    <col min="15104" max="15104" width="73.85546875" style="42" bestFit="1" customWidth="1"/>
    <col min="15105" max="15105" width="16.28515625" style="42" bestFit="1" customWidth="1"/>
    <col min="15106" max="15106" width="14.28515625" style="42" bestFit="1" customWidth="1"/>
    <col min="15107" max="15110" width="12.28515625" style="42" bestFit="1" customWidth="1"/>
    <col min="15111" max="15111" width="11.28515625" style="42" bestFit="1" customWidth="1"/>
    <col min="15112" max="15358" width="9.140625" style="42"/>
    <col min="15359" max="15359" width="7.5703125" style="42" bestFit="1" customWidth="1"/>
    <col min="15360" max="15360" width="73.85546875" style="42" bestFit="1" customWidth="1"/>
    <col min="15361" max="15361" width="16.28515625" style="42" bestFit="1" customWidth="1"/>
    <col min="15362" max="15362" width="14.28515625" style="42" bestFit="1" customWidth="1"/>
    <col min="15363" max="15366" width="12.28515625" style="42" bestFit="1" customWidth="1"/>
    <col min="15367" max="15367" width="11.28515625" style="42" bestFit="1" customWidth="1"/>
    <col min="15368" max="15614" width="9.140625" style="42"/>
    <col min="15615" max="15615" width="7.5703125" style="42" bestFit="1" customWidth="1"/>
    <col min="15616" max="15616" width="73.85546875" style="42" bestFit="1" customWidth="1"/>
    <col min="15617" max="15617" width="16.28515625" style="42" bestFit="1" customWidth="1"/>
    <col min="15618" max="15618" width="14.28515625" style="42" bestFit="1" customWidth="1"/>
    <col min="15619" max="15622" width="12.28515625" style="42" bestFit="1" customWidth="1"/>
    <col min="15623" max="15623" width="11.28515625" style="42" bestFit="1" customWidth="1"/>
    <col min="15624" max="15870" width="9.140625" style="42"/>
    <col min="15871" max="15871" width="7.5703125" style="42" bestFit="1" customWidth="1"/>
    <col min="15872" max="15872" width="73.85546875" style="42" bestFit="1" customWidth="1"/>
    <col min="15873" max="15873" width="16.28515625" style="42" bestFit="1" customWidth="1"/>
    <col min="15874" max="15874" width="14.28515625" style="42" bestFit="1" customWidth="1"/>
    <col min="15875" max="15878" width="12.28515625" style="42" bestFit="1" customWidth="1"/>
    <col min="15879" max="15879" width="11.28515625" style="42" bestFit="1" customWidth="1"/>
    <col min="15880" max="16126" width="9.140625" style="42"/>
    <col min="16127" max="16127" width="7.5703125" style="42" bestFit="1" customWidth="1"/>
    <col min="16128" max="16128" width="73.85546875" style="42" bestFit="1" customWidth="1"/>
    <col min="16129" max="16129" width="16.28515625" style="42" bestFit="1" customWidth="1"/>
    <col min="16130" max="16130" width="14.28515625" style="42" bestFit="1" customWidth="1"/>
    <col min="16131" max="16134" width="12.28515625" style="42" bestFit="1" customWidth="1"/>
    <col min="16135" max="16135" width="11.28515625" style="42" bestFit="1" customWidth="1"/>
    <col min="16136" max="16384" width="9.140625" style="42"/>
  </cols>
  <sheetData>
    <row r="1" spans="1:7">
      <c r="A1" s="79" t="s">
        <v>1538</v>
      </c>
      <c r="B1" s="79"/>
      <c r="C1" s="79"/>
      <c r="D1" s="79"/>
      <c r="E1" s="79"/>
      <c r="F1" s="79"/>
      <c r="G1" s="79"/>
    </row>
    <row r="2" spans="1:7">
      <c r="A2" s="80" t="s">
        <v>1560</v>
      </c>
      <c r="B2" s="80"/>
      <c r="C2" s="80"/>
      <c r="D2" s="80"/>
      <c r="E2" s="80"/>
      <c r="F2" s="80"/>
      <c r="G2" s="80"/>
    </row>
    <row r="3" spans="1:7">
      <c r="E3" s="42"/>
      <c r="F3" s="42"/>
      <c r="G3" s="42"/>
    </row>
    <row r="4" spans="1:7">
      <c r="A4" s="43" t="s">
        <v>1540</v>
      </c>
      <c r="B4" s="43" t="s">
        <v>1543</v>
      </c>
      <c r="C4" s="43" t="s">
        <v>1561</v>
      </c>
      <c r="D4" s="43" t="s">
        <v>1562</v>
      </c>
      <c r="E4" s="43" t="s">
        <v>1563</v>
      </c>
      <c r="F4" s="43" t="s">
        <v>1564</v>
      </c>
      <c r="G4" s="43" t="s">
        <v>1550</v>
      </c>
    </row>
    <row r="5" spans="1:7">
      <c r="A5" s="44"/>
      <c r="B5" s="43"/>
      <c r="C5" s="43"/>
      <c r="D5" s="43"/>
      <c r="E5" s="43"/>
      <c r="F5" s="43"/>
      <c r="G5" s="43"/>
    </row>
    <row r="6" spans="1:7">
      <c r="A6" s="45">
        <v>1</v>
      </c>
      <c r="B6" s="46" t="s">
        <v>827</v>
      </c>
      <c r="C6" s="45">
        <v>6105</v>
      </c>
      <c r="D6" s="47">
        <f>188+159+155+205+211</f>
        <v>918</v>
      </c>
      <c r="E6" s="47">
        <f>214+212+215+236+213</f>
        <v>1090</v>
      </c>
      <c r="F6" s="47">
        <f>226+213+180+148+183</f>
        <v>950</v>
      </c>
      <c r="G6" s="47">
        <f t="shared" ref="G6:G69" si="0">SUM(C6+D6+E6+F6)</f>
        <v>9063</v>
      </c>
    </row>
    <row r="7" spans="1:7">
      <c r="A7" s="45">
        <f t="shared" ref="A7:A44" si="1">A6+1</f>
        <v>2</v>
      </c>
      <c r="B7" s="46" t="s">
        <v>413</v>
      </c>
      <c r="C7" s="45">
        <v>6275</v>
      </c>
      <c r="D7" s="47">
        <f>194+176+223+199+199</f>
        <v>991</v>
      </c>
      <c r="E7" s="47">
        <f>148+183+181+171+169</f>
        <v>852</v>
      </c>
      <c r="F7" s="47">
        <f>177+197+205+174+174</f>
        <v>927</v>
      </c>
      <c r="G7" s="47">
        <f t="shared" si="0"/>
        <v>9045</v>
      </c>
    </row>
    <row r="8" spans="1:7">
      <c r="A8" s="45">
        <f t="shared" si="1"/>
        <v>3</v>
      </c>
      <c r="B8" s="46" t="s">
        <v>883</v>
      </c>
      <c r="C8" s="45">
        <v>6132</v>
      </c>
      <c r="D8" s="47">
        <f>194+169+188+172+233</f>
        <v>956</v>
      </c>
      <c r="E8" s="47">
        <f>185+138+223+179+168</f>
        <v>893</v>
      </c>
      <c r="F8" s="47">
        <f>170+205+235+179+200</f>
        <v>989</v>
      </c>
      <c r="G8" s="47">
        <f t="shared" si="0"/>
        <v>8970</v>
      </c>
    </row>
    <row r="9" spans="1:7">
      <c r="A9" s="45">
        <f t="shared" si="1"/>
        <v>4</v>
      </c>
      <c r="B9" s="46" t="s">
        <v>617</v>
      </c>
      <c r="C9" s="45">
        <v>6132</v>
      </c>
      <c r="D9" s="47">
        <f>210+177+156+170+171</f>
        <v>884</v>
      </c>
      <c r="E9" s="47">
        <f>178+208+177+214+215</f>
        <v>992</v>
      </c>
      <c r="F9" s="47">
        <f>182+189+164+193+192</f>
        <v>920</v>
      </c>
      <c r="G9" s="47">
        <f t="shared" si="0"/>
        <v>8928</v>
      </c>
    </row>
    <row r="10" spans="1:7">
      <c r="A10" s="45">
        <f t="shared" si="1"/>
        <v>5</v>
      </c>
      <c r="B10" s="46" t="s">
        <v>763</v>
      </c>
      <c r="C10" s="45">
        <v>6092</v>
      </c>
      <c r="D10" s="47">
        <f>229+170+164+168+160</f>
        <v>891</v>
      </c>
      <c r="E10" s="47">
        <f>244+182+222+187+223</f>
        <v>1058</v>
      </c>
      <c r="F10" s="47">
        <f>140+186+185+158+171</f>
        <v>840</v>
      </c>
      <c r="G10" s="47">
        <f t="shared" si="0"/>
        <v>8881</v>
      </c>
    </row>
    <row r="11" spans="1:7">
      <c r="A11" s="45">
        <f t="shared" si="1"/>
        <v>6</v>
      </c>
      <c r="B11" s="46" t="s">
        <v>220</v>
      </c>
      <c r="C11" s="45">
        <v>5839</v>
      </c>
      <c r="D11" s="47">
        <f>206+200+223+194+199</f>
        <v>1022</v>
      </c>
      <c r="E11" s="47">
        <f>149+145+193+182+214</f>
        <v>883</v>
      </c>
      <c r="F11" s="47">
        <f>234+185+197+225+234</f>
        <v>1075</v>
      </c>
      <c r="G11" s="47">
        <f t="shared" si="0"/>
        <v>8819</v>
      </c>
    </row>
    <row r="12" spans="1:7">
      <c r="A12" s="45">
        <f t="shared" si="1"/>
        <v>7</v>
      </c>
      <c r="B12" s="46" t="s">
        <v>247</v>
      </c>
      <c r="C12" s="45">
        <v>5989</v>
      </c>
      <c r="D12" s="48">
        <f>152+171+170+203+203</f>
        <v>899</v>
      </c>
      <c r="E12" s="48">
        <f>184+169+171+233+202</f>
        <v>959</v>
      </c>
      <c r="F12" s="48">
        <f>190+200+146+180+215</f>
        <v>931</v>
      </c>
      <c r="G12" s="47">
        <f t="shared" si="0"/>
        <v>8778</v>
      </c>
    </row>
    <row r="13" spans="1:7">
      <c r="A13" s="45">
        <f t="shared" si="1"/>
        <v>8</v>
      </c>
      <c r="B13" s="46" t="s">
        <v>575</v>
      </c>
      <c r="C13" s="45">
        <v>5835</v>
      </c>
      <c r="D13" s="47">
        <f>165+144+232+223+161</f>
        <v>925</v>
      </c>
      <c r="E13" s="47">
        <f>187+179+179+226+210</f>
        <v>981</v>
      </c>
      <c r="F13" s="47">
        <f>209+224+190+214+192</f>
        <v>1029</v>
      </c>
      <c r="G13" s="47">
        <f t="shared" si="0"/>
        <v>8770</v>
      </c>
    </row>
    <row r="14" spans="1:7">
      <c r="A14" s="45">
        <f t="shared" si="1"/>
        <v>9</v>
      </c>
      <c r="B14" s="46" t="s">
        <v>675</v>
      </c>
      <c r="C14" s="45">
        <v>5965</v>
      </c>
      <c r="D14" s="47">
        <f>175+202+221+153+194</f>
        <v>945</v>
      </c>
      <c r="E14" s="47">
        <f>177+205+156+146+166</f>
        <v>850</v>
      </c>
      <c r="F14" s="47">
        <f>207+205+185+190+208</f>
        <v>995</v>
      </c>
      <c r="G14" s="47">
        <f t="shared" si="0"/>
        <v>8755</v>
      </c>
    </row>
    <row r="15" spans="1:7">
      <c r="A15" s="45">
        <f t="shared" si="1"/>
        <v>10</v>
      </c>
      <c r="B15" s="46" t="s">
        <v>452</v>
      </c>
      <c r="C15" s="45">
        <v>6083</v>
      </c>
      <c r="D15" s="47">
        <f>190+161+136+162+183</f>
        <v>832</v>
      </c>
      <c r="E15" s="47">
        <f>160+147+197+176+197</f>
        <v>877</v>
      </c>
      <c r="F15" s="47">
        <f>216+175+189+172+165</f>
        <v>917</v>
      </c>
      <c r="G15" s="47">
        <f t="shared" si="0"/>
        <v>8709</v>
      </c>
    </row>
    <row r="16" spans="1:7">
      <c r="A16" s="45">
        <f t="shared" si="1"/>
        <v>11</v>
      </c>
      <c r="B16" s="46" t="s">
        <v>304</v>
      </c>
      <c r="C16" s="45">
        <v>5844</v>
      </c>
      <c r="D16" s="47">
        <f>179+210+184+182+210</f>
        <v>965</v>
      </c>
      <c r="E16" s="47">
        <f>181+212+207+157+177</f>
        <v>934</v>
      </c>
      <c r="F16" s="47">
        <f>164+233+191+180+182</f>
        <v>950</v>
      </c>
      <c r="G16" s="47">
        <f t="shared" si="0"/>
        <v>8693</v>
      </c>
    </row>
    <row r="17" spans="1:7">
      <c r="A17" s="45">
        <f t="shared" si="1"/>
        <v>12</v>
      </c>
      <c r="B17" s="46" t="s">
        <v>729</v>
      </c>
      <c r="C17" s="45">
        <v>5699</v>
      </c>
      <c r="D17" s="47">
        <f>166+171+184+206+167</f>
        <v>894</v>
      </c>
      <c r="E17" s="47">
        <f>166+210+151+186+236</f>
        <v>949</v>
      </c>
      <c r="F17" s="47">
        <f>218+232+222+191+278</f>
        <v>1141</v>
      </c>
      <c r="G17" s="47">
        <f t="shared" si="0"/>
        <v>8683</v>
      </c>
    </row>
    <row r="18" spans="1:7">
      <c r="A18" s="45">
        <f t="shared" si="1"/>
        <v>13</v>
      </c>
      <c r="B18" s="46" t="s">
        <v>27</v>
      </c>
      <c r="C18" s="45">
        <v>5859</v>
      </c>
      <c r="D18" s="47">
        <f>234+149+245+218+184</f>
        <v>1030</v>
      </c>
      <c r="E18" s="47">
        <f>153+180+162+190+198</f>
        <v>883</v>
      </c>
      <c r="F18" s="47">
        <f>186+167+174+178+183</f>
        <v>888</v>
      </c>
      <c r="G18" s="47">
        <f t="shared" si="0"/>
        <v>8660</v>
      </c>
    </row>
    <row r="19" spans="1:7">
      <c r="A19" s="45">
        <f t="shared" si="1"/>
        <v>14</v>
      </c>
      <c r="B19" s="46" t="s">
        <v>464</v>
      </c>
      <c r="C19" s="45">
        <v>5913</v>
      </c>
      <c r="D19" s="47">
        <f>198+183+188+203+153</f>
        <v>925</v>
      </c>
      <c r="E19" s="47">
        <f>147+203+163+193+187</f>
        <v>893</v>
      </c>
      <c r="F19" s="47">
        <f>172+190+185+202+177</f>
        <v>926</v>
      </c>
      <c r="G19" s="47">
        <f t="shared" si="0"/>
        <v>8657</v>
      </c>
    </row>
    <row r="20" spans="1:7">
      <c r="A20" s="45">
        <f t="shared" si="1"/>
        <v>15</v>
      </c>
      <c r="B20" s="46" t="s">
        <v>501</v>
      </c>
      <c r="C20" s="45">
        <v>5789</v>
      </c>
      <c r="D20" s="47">
        <f>192+188+216+178+210</f>
        <v>984</v>
      </c>
      <c r="E20" s="47">
        <f>157+181+197+177+197</f>
        <v>909</v>
      </c>
      <c r="F20" s="47">
        <f>186+163+167+216+207</f>
        <v>939</v>
      </c>
      <c r="G20" s="47">
        <f t="shared" si="0"/>
        <v>8621</v>
      </c>
    </row>
    <row r="21" spans="1:7">
      <c r="A21" s="45">
        <f t="shared" si="1"/>
        <v>16</v>
      </c>
      <c r="B21" s="46" t="s">
        <v>1199</v>
      </c>
      <c r="C21" s="45">
        <v>5945</v>
      </c>
      <c r="D21" s="47">
        <f>174+178+150+160+123</f>
        <v>785</v>
      </c>
      <c r="E21" s="47">
        <f>152+216+195+189+167</f>
        <v>919</v>
      </c>
      <c r="F21" s="47">
        <f>193+179+212+204+179</f>
        <v>967</v>
      </c>
      <c r="G21" s="47">
        <f t="shared" si="0"/>
        <v>8616</v>
      </c>
    </row>
    <row r="22" spans="1:7">
      <c r="A22" s="45">
        <f t="shared" si="1"/>
        <v>17</v>
      </c>
      <c r="B22" s="46" t="s">
        <v>654</v>
      </c>
      <c r="C22" s="45">
        <v>5758</v>
      </c>
      <c r="D22" s="47">
        <f>210+168+144+234+179</f>
        <v>935</v>
      </c>
      <c r="E22" s="47">
        <f>159+200+180+206+168</f>
        <v>913</v>
      </c>
      <c r="F22" s="47">
        <f>173+169+234+212+205</f>
        <v>993</v>
      </c>
      <c r="G22" s="47">
        <f t="shared" si="0"/>
        <v>8599</v>
      </c>
    </row>
    <row r="23" spans="1:7">
      <c r="A23" s="45">
        <f t="shared" si="1"/>
        <v>18</v>
      </c>
      <c r="B23" s="46" t="s">
        <v>626</v>
      </c>
      <c r="C23" s="45">
        <v>5825</v>
      </c>
      <c r="D23" s="47">
        <f>187+178+155+155+188</f>
        <v>863</v>
      </c>
      <c r="E23" s="47">
        <f>190+221+174+186+168</f>
        <v>939</v>
      </c>
      <c r="F23" s="47">
        <f>152+227+202+192+169</f>
        <v>942</v>
      </c>
      <c r="G23" s="47">
        <f t="shared" si="0"/>
        <v>8569</v>
      </c>
    </row>
    <row r="24" spans="1:7">
      <c r="A24" s="45">
        <f t="shared" si="1"/>
        <v>19</v>
      </c>
      <c r="B24" s="46" t="s">
        <v>231</v>
      </c>
      <c r="C24" s="45">
        <v>5902</v>
      </c>
      <c r="D24" s="47">
        <f>185+178+179+165+193</f>
        <v>900</v>
      </c>
      <c r="E24" s="47">
        <f>198+137+144+193+186</f>
        <v>858</v>
      </c>
      <c r="F24" s="47">
        <f>200+185+178+180+161</f>
        <v>904</v>
      </c>
      <c r="G24" s="47">
        <f t="shared" si="0"/>
        <v>8564</v>
      </c>
    </row>
    <row r="25" spans="1:7">
      <c r="A25" s="45">
        <f t="shared" si="1"/>
        <v>20</v>
      </c>
      <c r="B25" s="46" t="s">
        <v>594</v>
      </c>
      <c r="C25" s="45">
        <v>5806</v>
      </c>
      <c r="D25" s="47">
        <f>183+177+170+183+188</f>
        <v>901</v>
      </c>
      <c r="E25" s="47">
        <f>162+171+139+196+173</f>
        <v>841</v>
      </c>
      <c r="F25" s="47">
        <f>199+218+180+220+183</f>
        <v>1000</v>
      </c>
      <c r="G25" s="47">
        <f t="shared" si="0"/>
        <v>8548</v>
      </c>
    </row>
    <row r="26" spans="1:7">
      <c r="A26" s="45">
        <f t="shared" si="1"/>
        <v>21</v>
      </c>
      <c r="B26" s="46" t="s">
        <v>74</v>
      </c>
      <c r="C26" s="45">
        <v>5709</v>
      </c>
      <c r="D26" s="47">
        <f>194+211+225+202+192</f>
        <v>1024</v>
      </c>
      <c r="E26" s="47">
        <f>190+217+171+158+214</f>
        <v>950</v>
      </c>
      <c r="F26" s="47">
        <f>138+175+203+169+170</f>
        <v>855</v>
      </c>
      <c r="G26" s="47">
        <f t="shared" si="0"/>
        <v>8538</v>
      </c>
    </row>
    <row r="27" spans="1:7">
      <c r="A27" s="45">
        <f t="shared" si="1"/>
        <v>22</v>
      </c>
      <c r="B27" s="46" t="s">
        <v>817</v>
      </c>
      <c r="C27" s="45">
        <v>5852</v>
      </c>
      <c r="D27" s="47">
        <f>184+167+163+200+164</f>
        <v>878</v>
      </c>
      <c r="E27" s="47">
        <f>207+204+166+189+184</f>
        <v>950</v>
      </c>
      <c r="F27" s="47">
        <f>133+204+137+181+173</f>
        <v>828</v>
      </c>
      <c r="G27" s="47">
        <f t="shared" si="0"/>
        <v>8508</v>
      </c>
    </row>
    <row r="28" spans="1:7">
      <c r="A28" s="45">
        <f t="shared" si="1"/>
        <v>23</v>
      </c>
      <c r="B28" s="46" t="s">
        <v>856</v>
      </c>
      <c r="C28" s="45">
        <v>5753</v>
      </c>
      <c r="D28" s="47">
        <f>155+166+175+161+168</f>
        <v>825</v>
      </c>
      <c r="E28" s="47">
        <f>174+214+228+191+151</f>
        <v>958</v>
      </c>
      <c r="F28" s="47">
        <f>155+173+203+224+216</f>
        <v>971</v>
      </c>
      <c r="G28" s="47">
        <f t="shared" si="0"/>
        <v>8507</v>
      </c>
    </row>
    <row r="29" spans="1:7">
      <c r="A29" s="45">
        <f t="shared" si="1"/>
        <v>24</v>
      </c>
      <c r="B29" s="46" t="s">
        <v>205</v>
      </c>
      <c r="C29" s="45">
        <v>5724</v>
      </c>
      <c r="D29" s="47">
        <f>180+211+132+166+189</f>
        <v>878</v>
      </c>
      <c r="E29" s="47">
        <f>224+176+187+182+192</f>
        <v>961</v>
      </c>
      <c r="F29" s="47">
        <f>181+187+213+171+170</f>
        <v>922</v>
      </c>
      <c r="G29" s="47">
        <f t="shared" si="0"/>
        <v>8485</v>
      </c>
    </row>
    <row r="30" spans="1:7">
      <c r="A30" s="45">
        <f t="shared" si="1"/>
        <v>25</v>
      </c>
      <c r="B30" s="46" t="s">
        <v>154</v>
      </c>
      <c r="C30" s="45">
        <v>5723</v>
      </c>
      <c r="D30" s="47">
        <f>145+150+160+168+190</f>
        <v>813</v>
      </c>
      <c r="E30" s="47">
        <f>199+236+200+178+189</f>
        <v>1002</v>
      </c>
      <c r="F30" s="47">
        <f>203+181+175+166+212</f>
        <v>937</v>
      </c>
      <c r="G30" s="47">
        <f t="shared" si="0"/>
        <v>8475</v>
      </c>
    </row>
    <row r="31" spans="1:7">
      <c r="A31" s="45">
        <f t="shared" si="1"/>
        <v>26</v>
      </c>
      <c r="B31" s="46" t="s">
        <v>799</v>
      </c>
      <c r="C31" s="45">
        <v>5653</v>
      </c>
      <c r="D31" s="47">
        <f>226+191+206+171+216</f>
        <v>1010</v>
      </c>
      <c r="E31" s="47">
        <f>201+175+168+166+168</f>
        <v>878</v>
      </c>
      <c r="F31" s="47">
        <f>204+205+133+214+156</f>
        <v>912</v>
      </c>
      <c r="G31" s="47">
        <f t="shared" si="0"/>
        <v>8453</v>
      </c>
    </row>
    <row r="32" spans="1:7">
      <c r="A32" s="45">
        <f t="shared" si="1"/>
        <v>27</v>
      </c>
      <c r="B32" s="46" t="s">
        <v>331</v>
      </c>
      <c r="C32" s="45">
        <v>5701</v>
      </c>
      <c r="D32" s="47">
        <f>187+138+220+152+189</f>
        <v>886</v>
      </c>
      <c r="E32" s="47">
        <f>198+173+195+200+192</f>
        <v>958</v>
      </c>
      <c r="F32" s="47">
        <f>161+209+189+147+183</f>
        <v>889</v>
      </c>
      <c r="G32" s="47">
        <f t="shared" si="0"/>
        <v>8434</v>
      </c>
    </row>
    <row r="33" spans="1:7">
      <c r="A33" s="45">
        <f t="shared" si="1"/>
        <v>28</v>
      </c>
      <c r="B33" s="46" t="s">
        <v>807</v>
      </c>
      <c r="C33" s="45">
        <v>5608</v>
      </c>
      <c r="D33" s="47">
        <f>171+147+208+196+170</f>
        <v>892</v>
      </c>
      <c r="E33" s="47">
        <f>188+182+198+159+203</f>
        <v>930</v>
      </c>
      <c r="F33" s="47">
        <f>183+167+268+186+192</f>
        <v>996</v>
      </c>
      <c r="G33" s="47">
        <f t="shared" si="0"/>
        <v>8426</v>
      </c>
    </row>
    <row r="34" spans="1:7">
      <c r="A34" s="45">
        <f t="shared" si="1"/>
        <v>29</v>
      </c>
      <c r="B34" s="46" t="s">
        <v>547</v>
      </c>
      <c r="C34" s="45">
        <v>5636</v>
      </c>
      <c r="D34" s="47">
        <f>174+213+210+183+163</f>
        <v>943</v>
      </c>
      <c r="E34" s="47">
        <f>212+209+160+181+190</f>
        <v>952</v>
      </c>
      <c r="F34" s="47">
        <f>152+194+195+168+171</f>
        <v>880</v>
      </c>
      <c r="G34" s="47">
        <f t="shared" si="0"/>
        <v>8411</v>
      </c>
    </row>
    <row r="35" spans="1:7">
      <c r="A35" s="45">
        <f t="shared" si="1"/>
        <v>30</v>
      </c>
      <c r="B35" s="46" t="s">
        <v>636</v>
      </c>
      <c r="C35" s="45">
        <v>5701</v>
      </c>
      <c r="D35" s="47">
        <f>204+156+224+184+140</f>
        <v>908</v>
      </c>
      <c r="E35" s="47">
        <f>166+244+137+204+139</f>
        <v>890</v>
      </c>
      <c r="F35" s="47">
        <f>156+194+168+170+182</f>
        <v>870</v>
      </c>
      <c r="G35" s="47">
        <f t="shared" si="0"/>
        <v>8369</v>
      </c>
    </row>
    <row r="36" spans="1:7">
      <c r="A36" s="45">
        <f t="shared" si="1"/>
        <v>31</v>
      </c>
      <c r="B36" s="46" t="s">
        <v>180</v>
      </c>
      <c r="C36" s="45">
        <v>5647</v>
      </c>
      <c r="D36" s="47">
        <f>122+157+204+150+213</f>
        <v>846</v>
      </c>
      <c r="E36" s="47">
        <f>169+161+198+181+203</f>
        <v>912</v>
      </c>
      <c r="F36" s="47">
        <f>193+184+212+177+189</f>
        <v>955</v>
      </c>
      <c r="G36" s="47">
        <f t="shared" si="0"/>
        <v>8360</v>
      </c>
    </row>
    <row r="37" spans="1:7">
      <c r="A37" s="45">
        <f t="shared" si="1"/>
        <v>32</v>
      </c>
      <c r="B37" s="46" t="s">
        <v>425</v>
      </c>
      <c r="C37" s="45">
        <v>5691</v>
      </c>
      <c r="D37" s="47">
        <f>170+186+124+203+146</f>
        <v>829</v>
      </c>
      <c r="E37" s="47">
        <f>197+168+178+213+162</f>
        <v>918</v>
      </c>
      <c r="F37" s="47">
        <f>163+183+145+187+241</f>
        <v>919</v>
      </c>
      <c r="G37" s="47">
        <f t="shared" si="0"/>
        <v>8357</v>
      </c>
    </row>
    <row r="38" spans="1:7">
      <c r="A38" s="45">
        <f t="shared" si="1"/>
        <v>33</v>
      </c>
      <c r="B38" s="46" t="s">
        <v>84</v>
      </c>
      <c r="C38" s="45">
        <v>5885</v>
      </c>
      <c r="D38" s="47">
        <f>111+236+155+185+132</f>
        <v>819</v>
      </c>
      <c r="E38" s="47">
        <f>153+182+204+163+147</f>
        <v>849</v>
      </c>
      <c r="F38" s="47">
        <f>211+135+154+170+125</f>
        <v>795</v>
      </c>
      <c r="G38" s="47">
        <f t="shared" si="0"/>
        <v>8348</v>
      </c>
    </row>
    <row r="39" spans="1:7">
      <c r="A39" s="45">
        <f t="shared" si="1"/>
        <v>34</v>
      </c>
      <c r="B39" s="46" t="s">
        <v>167</v>
      </c>
      <c r="C39" s="45">
        <v>5478</v>
      </c>
      <c r="D39" s="47">
        <f>163+176+157+191+213</f>
        <v>900</v>
      </c>
      <c r="E39" s="47">
        <f>180+197+156+175+231</f>
        <v>939</v>
      </c>
      <c r="F39" s="47">
        <f>192+234+207+191+195</f>
        <v>1019</v>
      </c>
      <c r="G39" s="47">
        <f t="shared" si="0"/>
        <v>8336</v>
      </c>
    </row>
    <row r="40" spans="1:7">
      <c r="A40" s="45">
        <f t="shared" si="1"/>
        <v>35</v>
      </c>
      <c r="B40" s="46" t="s">
        <v>713</v>
      </c>
      <c r="C40" s="45">
        <v>5589</v>
      </c>
      <c r="D40" s="47">
        <f>231+144+197+132+163</f>
        <v>867</v>
      </c>
      <c r="E40" s="47">
        <f>193+141+201+179+181</f>
        <v>895</v>
      </c>
      <c r="F40" s="47">
        <f>201+147+219+208+183</f>
        <v>958</v>
      </c>
      <c r="G40" s="47">
        <f t="shared" si="0"/>
        <v>8309</v>
      </c>
    </row>
    <row r="41" spans="1:7">
      <c r="A41" s="45">
        <f t="shared" si="1"/>
        <v>36</v>
      </c>
      <c r="B41" s="46" t="s">
        <v>720</v>
      </c>
      <c r="C41" s="45">
        <v>5435</v>
      </c>
      <c r="D41" s="47">
        <f>203+142+198+143+182</f>
        <v>868</v>
      </c>
      <c r="E41" s="47">
        <f>189+246+217+214+213</f>
        <v>1079</v>
      </c>
      <c r="F41" s="47">
        <f>187+156+192+141+170</f>
        <v>846</v>
      </c>
      <c r="G41" s="47">
        <f t="shared" si="0"/>
        <v>8228</v>
      </c>
    </row>
    <row r="42" spans="1:7">
      <c r="A42" s="45">
        <f t="shared" si="1"/>
        <v>37</v>
      </c>
      <c r="B42" s="46" t="s">
        <v>557</v>
      </c>
      <c r="C42" s="45">
        <v>5476</v>
      </c>
      <c r="D42" s="47">
        <f>165+178+193+248+157</f>
        <v>941</v>
      </c>
      <c r="E42" s="47">
        <f>172+222+134+152+172</f>
        <v>852</v>
      </c>
      <c r="F42" s="47">
        <f>213+161+179+221+173</f>
        <v>947</v>
      </c>
      <c r="G42" s="47">
        <f t="shared" si="0"/>
        <v>8216</v>
      </c>
    </row>
    <row r="43" spans="1:7">
      <c r="A43" s="45">
        <f t="shared" si="1"/>
        <v>38</v>
      </c>
      <c r="B43" s="46" t="s">
        <v>514</v>
      </c>
      <c r="C43" s="45">
        <v>5467</v>
      </c>
      <c r="D43" s="47">
        <f>174+188+170+181+161</f>
        <v>874</v>
      </c>
      <c r="E43" s="47">
        <f>221+160+188+167+212</f>
        <v>948</v>
      </c>
      <c r="F43" s="47">
        <f>163+202+215+171+169</f>
        <v>920</v>
      </c>
      <c r="G43" s="47">
        <f t="shared" si="0"/>
        <v>8209</v>
      </c>
    </row>
    <row r="44" spans="1:7">
      <c r="A44" s="45">
        <f t="shared" si="1"/>
        <v>39</v>
      </c>
      <c r="B44" s="46" t="s">
        <v>790</v>
      </c>
      <c r="C44" s="45">
        <v>5501</v>
      </c>
      <c r="D44" s="47">
        <f>171+203+159+182+148</f>
        <v>863</v>
      </c>
      <c r="E44" s="47">
        <f>209+164+186+213+176</f>
        <v>948</v>
      </c>
      <c r="F44" s="47">
        <f>205+121+162+180+209</f>
        <v>877</v>
      </c>
      <c r="G44" s="47">
        <f t="shared" si="0"/>
        <v>8189</v>
      </c>
    </row>
    <row r="45" spans="1:7">
      <c r="A45" s="45">
        <v>40</v>
      </c>
      <c r="B45" s="46" t="s">
        <v>875</v>
      </c>
      <c r="C45" s="45">
        <v>5557</v>
      </c>
      <c r="D45" s="47">
        <f>193+169+182+185+168</f>
        <v>897</v>
      </c>
      <c r="E45" s="47">
        <f>135+211+203+145+167</f>
        <v>861</v>
      </c>
      <c r="F45" s="47">
        <f>170+150+136+215+163</f>
        <v>834</v>
      </c>
      <c r="G45" s="47">
        <f t="shared" si="0"/>
        <v>8149</v>
      </c>
    </row>
    <row r="46" spans="1:7">
      <c r="A46" s="45">
        <v>41</v>
      </c>
      <c r="B46" s="46" t="s">
        <v>584</v>
      </c>
      <c r="C46" s="45">
        <v>5608</v>
      </c>
      <c r="D46" s="47">
        <f>136+153+187+175+147</f>
        <v>798</v>
      </c>
      <c r="E46" s="47">
        <f>179+151+218+179+140</f>
        <v>867</v>
      </c>
      <c r="F46" s="47">
        <f>149+167+156+153+214</f>
        <v>839</v>
      </c>
      <c r="G46" s="47">
        <f t="shared" si="0"/>
        <v>8112</v>
      </c>
    </row>
    <row r="47" spans="1:7">
      <c r="A47" s="45">
        <v>42</v>
      </c>
      <c r="B47" s="46" t="s">
        <v>438</v>
      </c>
      <c r="C47" s="45">
        <v>5450</v>
      </c>
      <c r="D47" s="47">
        <f>150+149+162+168+191</f>
        <v>820</v>
      </c>
      <c r="E47" s="47">
        <f>169+193+184+187+242</f>
        <v>975</v>
      </c>
      <c r="F47" s="47">
        <f>156+199+212+135+159</f>
        <v>861</v>
      </c>
      <c r="G47" s="47">
        <f t="shared" si="0"/>
        <v>8106</v>
      </c>
    </row>
    <row r="48" spans="1:7">
      <c r="A48" s="45">
        <v>43</v>
      </c>
      <c r="B48" s="46" t="s">
        <v>479</v>
      </c>
      <c r="C48" s="45">
        <v>5465</v>
      </c>
      <c r="D48" s="47">
        <f>169+204+204+156+205</f>
        <v>938</v>
      </c>
      <c r="E48" s="47">
        <f>128+223+199+158+167</f>
        <v>875</v>
      </c>
      <c r="F48" s="47">
        <f>163+175+159+170+148</f>
        <v>815</v>
      </c>
      <c r="G48" s="47">
        <f t="shared" si="0"/>
        <v>8093</v>
      </c>
    </row>
    <row r="49" spans="1:7">
      <c r="A49" s="45">
        <v>44</v>
      </c>
      <c r="B49" s="46" t="s">
        <v>751</v>
      </c>
      <c r="C49" s="45">
        <v>5471</v>
      </c>
      <c r="D49" s="47">
        <f>162+203+138+167+170</f>
        <v>840</v>
      </c>
      <c r="E49" s="47">
        <f>210+158+183+218+146</f>
        <v>915</v>
      </c>
      <c r="F49" s="47">
        <f>172+155+192+171+172</f>
        <v>862</v>
      </c>
      <c r="G49" s="47">
        <f t="shared" si="0"/>
        <v>8088</v>
      </c>
    </row>
    <row r="50" spans="1:7">
      <c r="A50" s="45">
        <v>45</v>
      </c>
      <c r="B50" s="46" t="s">
        <v>607</v>
      </c>
      <c r="C50" s="45">
        <v>5573</v>
      </c>
      <c r="D50" s="47">
        <f>146+149+216+180+151</f>
        <v>842</v>
      </c>
      <c r="E50" s="47">
        <f>204+171+169+179+139</f>
        <v>862</v>
      </c>
      <c r="F50" s="47">
        <f>140+220+143+140+164</f>
        <v>807</v>
      </c>
      <c r="G50" s="47">
        <f t="shared" si="0"/>
        <v>8084</v>
      </c>
    </row>
    <row r="51" spans="1:7">
      <c r="A51" s="45">
        <v>46</v>
      </c>
      <c r="B51" s="46" t="s">
        <v>565</v>
      </c>
      <c r="C51" s="45">
        <v>5438</v>
      </c>
      <c r="D51" s="47">
        <f>120+186+195+185+168</f>
        <v>854</v>
      </c>
      <c r="E51" s="47">
        <f>177+185+189+150+204</f>
        <v>905</v>
      </c>
      <c r="F51" s="47">
        <f>166+214+191+124+187</f>
        <v>882</v>
      </c>
      <c r="G51" s="47">
        <f t="shared" si="0"/>
        <v>8079</v>
      </c>
    </row>
    <row r="52" spans="1:7">
      <c r="A52" s="45">
        <v>47</v>
      </c>
      <c r="B52" s="46" t="s">
        <v>686</v>
      </c>
      <c r="C52" s="45">
        <v>5459</v>
      </c>
      <c r="D52" s="47">
        <f>178+181+210+193+144</f>
        <v>906</v>
      </c>
      <c r="E52" s="47">
        <f>194+158+149+223+177</f>
        <v>901</v>
      </c>
      <c r="F52" s="47">
        <f>171+155+157+175+146</f>
        <v>804</v>
      </c>
      <c r="G52" s="47">
        <f t="shared" si="0"/>
        <v>8070</v>
      </c>
    </row>
    <row r="53" spans="1:7">
      <c r="A53" s="45">
        <v>48</v>
      </c>
      <c r="B53" s="46" t="s">
        <v>373</v>
      </c>
      <c r="C53" s="45">
        <v>5464</v>
      </c>
      <c r="D53" s="47">
        <f>157+205+181+172+186</f>
        <v>901</v>
      </c>
      <c r="E53" s="47">
        <f>193+150+125+120+149</f>
        <v>737</v>
      </c>
      <c r="F53" s="47">
        <f>150+217+181+244+172</f>
        <v>964</v>
      </c>
      <c r="G53" s="47">
        <f t="shared" si="0"/>
        <v>8066</v>
      </c>
    </row>
    <row r="54" spans="1:7">
      <c r="A54" s="45">
        <v>49</v>
      </c>
      <c r="B54" s="46" t="s">
        <v>789</v>
      </c>
      <c r="C54" s="45">
        <v>5404</v>
      </c>
      <c r="D54" s="47">
        <f>167+169+127+186+163</f>
        <v>812</v>
      </c>
      <c r="E54" s="47">
        <f>170+180+179+193+191</f>
        <v>913</v>
      </c>
      <c r="F54" s="47">
        <f>140+199+200+202+192</f>
        <v>933</v>
      </c>
      <c r="G54" s="47">
        <f t="shared" si="0"/>
        <v>8062</v>
      </c>
    </row>
    <row r="55" spans="1:7">
      <c r="A55" s="45">
        <v>50</v>
      </c>
      <c r="B55" s="46" t="s">
        <v>127</v>
      </c>
      <c r="C55" s="45">
        <v>5384</v>
      </c>
      <c r="D55" s="47">
        <f>193+193+141+154+156</f>
        <v>837</v>
      </c>
      <c r="E55" s="47">
        <f>146+169+204+205+219</f>
        <v>943</v>
      </c>
      <c r="F55" s="47">
        <f>188+208+162+171+164</f>
        <v>893</v>
      </c>
      <c r="G55" s="47">
        <f t="shared" si="0"/>
        <v>8057</v>
      </c>
    </row>
    <row r="56" spans="1:7">
      <c r="A56" s="45">
        <v>51</v>
      </c>
      <c r="B56" s="46" t="s">
        <v>848</v>
      </c>
      <c r="C56" s="45">
        <v>5512</v>
      </c>
      <c r="D56" s="47">
        <f>158+158+150+193+144</f>
        <v>803</v>
      </c>
      <c r="E56" s="47">
        <f>169+152+194+203+177</f>
        <v>895</v>
      </c>
      <c r="F56" s="47">
        <f>186+169+193+162+135</f>
        <v>845</v>
      </c>
      <c r="G56" s="47">
        <f t="shared" si="0"/>
        <v>8055</v>
      </c>
    </row>
    <row r="57" spans="1:7">
      <c r="A57" s="45">
        <v>52</v>
      </c>
      <c r="B57" s="46" t="s">
        <v>295</v>
      </c>
      <c r="C57" s="45">
        <v>5469</v>
      </c>
      <c r="D57" s="47">
        <f>124+180+169+145+210</f>
        <v>828</v>
      </c>
      <c r="E57" s="47">
        <f>169+174+142+145+160</f>
        <v>790</v>
      </c>
      <c r="F57" s="47">
        <f>161+200+212+180+178</f>
        <v>931</v>
      </c>
      <c r="G57" s="47">
        <f t="shared" si="0"/>
        <v>8018</v>
      </c>
    </row>
    <row r="58" spans="1:7">
      <c r="A58" s="45">
        <v>53</v>
      </c>
      <c r="B58" s="46" t="s">
        <v>772</v>
      </c>
      <c r="C58" s="45">
        <v>5533</v>
      </c>
      <c r="D58" s="47">
        <f>162+168+163+157+119</f>
        <v>769</v>
      </c>
      <c r="E58" s="47">
        <f>191+155+176+225+160</f>
        <v>907</v>
      </c>
      <c r="F58" s="47">
        <f>182+170+190+134+127</f>
        <v>803</v>
      </c>
      <c r="G58" s="47">
        <f t="shared" si="0"/>
        <v>8012</v>
      </c>
    </row>
    <row r="59" spans="1:7">
      <c r="A59" s="45">
        <v>54</v>
      </c>
      <c r="B59" s="46" t="s">
        <v>490</v>
      </c>
      <c r="C59" s="45">
        <v>5416</v>
      </c>
      <c r="D59" s="47">
        <f>218+160+192+178+181</f>
        <v>929</v>
      </c>
      <c r="E59" s="47">
        <f>184+155+165+137+187</f>
        <v>828</v>
      </c>
      <c r="F59" s="47">
        <f>141+182+200+168+131</f>
        <v>822</v>
      </c>
      <c r="G59" s="47">
        <f t="shared" si="0"/>
        <v>7995</v>
      </c>
    </row>
    <row r="60" spans="1:7">
      <c r="A60" s="45">
        <v>55</v>
      </c>
      <c r="B60" s="46" t="s">
        <v>695</v>
      </c>
      <c r="C60" s="45">
        <v>5558</v>
      </c>
      <c r="D60" s="47">
        <f>133+175+128+178+104</f>
        <v>718</v>
      </c>
      <c r="E60" s="47">
        <f>177+154+171+218+161</f>
        <v>881</v>
      </c>
      <c r="F60" s="47">
        <f>133+163+187+160+155</f>
        <v>798</v>
      </c>
      <c r="G60" s="47">
        <f t="shared" si="0"/>
        <v>7955</v>
      </c>
    </row>
    <row r="61" spans="1:7">
      <c r="A61" s="45">
        <v>56</v>
      </c>
      <c r="B61" s="46" t="s">
        <v>44</v>
      </c>
      <c r="C61" s="45">
        <v>5341</v>
      </c>
      <c r="D61" s="47">
        <f>189+185+205+206+128</f>
        <v>913</v>
      </c>
      <c r="E61" s="47">
        <f>184+155+188+158+147</f>
        <v>832</v>
      </c>
      <c r="F61" s="47">
        <f>173+212+162+139+175</f>
        <v>861</v>
      </c>
      <c r="G61" s="47">
        <f t="shared" si="0"/>
        <v>7947</v>
      </c>
    </row>
    <row r="62" spans="1:7">
      <c r="A62" s="45">
        <v>57</v>
      </c>
      <c r="B62" s="46" t="s">
        <v>643</v>
      </c>
      <c r="C62" s="45">
        <v>5527</v>
      </c>
      <c r="D62" s="47">
        <f>200+155+136+162+159</f>
        <v>812</v>
      </c>
      <c r="E62" s="47">
        <f>149+208+145+160+129</f>
        <v>791</v>
      </c>
      <c r="F62" s="47">
        <f>111+214+170+188+134</f>
        <v>817</v>
      </c>
      <c r="G62" s="47">
        <f t="shared" si="0"/>
        <v>7947</v>
      </c>
    </row>
    <row r="63" spans="1:7">
      <c r="A63" s="45">
        <v>58</v>
      </c>
      <c r="B63" s="46" t="s">
        <v>13</v>
      </c>
      <c r="C63" s="45">
        <v>5466</v>
      </c>
      <c r="D63" s="47">
        <f>155+146+157+225+153</f>
        <v>836</v>
      </c>
      <c r="E63" s="47">
        <f>162+150+167+143+156</f>
        <v>778</v>
      </c>
      <c r="F63" s="47">
        <f>181+177+147+127+175</f>
        <v>807</v>
      </c>
      <c r="G63" s="47">
        <f t="shared" si="0"/>
        <v>7887</v>
      </c>
    </row>
    <row r="64" spans="1:7">
      <c r="A64" s="45">
        <v>59</v>
      </c>
      <c r="B64" s="46" t="s">
        <v>318</v>
      </c>
      <c r="C64" s="45">
        <v>5173</v>
      </c>
      <c r="D64" s="47">
        <f>155+189+191+150+230</f>
        <v>915</v>
      </c>
      <c r="E64" s="47">
        <f>224+142+155+199+169</f>
        <v>889</v>
      </c>
      <c r="F64" s="47">
        <f>204+177+144+196+173</f>
        <v>894</v>
      </c>
      <c r="G64" s="47">
        <f t="shared" si="0"/>
        <v>7871</v>
      </c>
    </row>
    <row r="65" spans="1:7">
      <c r="A65" s="45">
        <v>60</v>
      </c>
      <c r="B65" s="46" t="s">
        <v>143</v>
      </c>
      <c r="C65" s="45">
        <v>5422</v>
      </c>
      <c r="D65" s="47">
        <f>149+132+154+134+159</f>
        <v>728</v>
      </c>
      <c r="E65" s="47">
        <f>180+172+177+164+149</f>
        <v>842</v>
      </c>
      <c r="F65" s="47">
        <f>162+192+210+137+172</f>
        <v>873</v>
      </c>
      <c r="G65" s="47">
        <f t="shared" si="0"/>
        <v>7865</v>
      </c>
    </row>
    <row r="66" spans="1:7">
      <c r="A66" s="45">
        <v>61</v>
      </c>
      <c r="B66" s="46" t="s">
        <v>61</v>
      </c>
      <c r="C66" s="45">
        <v>5412</v>
      </c>
      <c r="D66" s="47">
        <f>120+177+171+146+111</f>
        <v>725</v>
      </c>
      <c r="E66" s="47">
        <f>141+145+214+177+186</f>
        <v>863</v>
      </c>
      <c r="F66" s="47">
        <f>147+165+157+202+193</f>
        <v>864</v>
      </c>
      <c r="G66" s="47">
        <f t="shared" si="0"/>
        <v>7864</v>
      </c>
    </row>
    <row r="67" spans="1:7">
      <c r="A67" s="45">
        <v>62</v>
      </c>
      <c r="B67" s="46" t="s">
        <v>262</v>
      </c>
      <c r="C67" s="45">
        <v>5339</v>
      </c>
      <c r="D67" s="47">
        <f>137+185+167+203+125</f>
        <v>817</v>
      </c>
      <c r="E67" s="47">
        <f>162+136+166+170+155</f>
        <v>789</v>
      </c>
      <c r="F67" s="47">
        <f>170+171+148+148+229</f>
        <v>866</v>
      </c>
      <c r="G67" s="47">
        <f t="shared" si="0"/>
        <v>7811</v>
      </c>
    </row>
    <row r="68" spans="1:7">
      <c r="A68" s="45">
        <v>63</v>
      </c>
      <c r="B68" s="46" t="s">
        <v>113</v>
      </c>
      <c r="C68" s="45">
        <v>5105</v>
      </c>
      <c r="D68" s="47">
        <f>185+152+167+228+152</f>
        <v>884</v>
      </c>
      <c r="E68" s="47">
        <f>181+205+184+199+169</f>
        <v>938</v>
      </c>
      <c r="F68" s="47">
        <f>168+166+189+175+158</f>
        <v>856</v>
      </c>
      <c r="G68" s="47">
        <f t="shared" si="0"/>
        <v>7783</v>
      </c>
    </row>
    <row r="69" spans="1:7">
      <c r="A69" s="45">
        <v>64</v>
      </c>
      <c r="B69" s="46" t="s">
        <v>281</v>
      </c>
      <c r="C69" s="45">
        <v>5367</v>
      </c>
      <c r="D69" s="47">
        <f>119+147+143+179+133</f>
        <v>721</v>
      </c>
      <c r="E69" s="47">
        <f>156+178+164+167+156</f>
        <v>821</v>
      </c>
      <c r="F69" s="47">
        <f>158+179+146+174+190</f>
        <v>847</v>
      </c>
      <c r="G69" s="47">
        <f t="shared" si="0"/>
        <v>7756</v>
      </c>
    </row>
    <row r="70" spans="1:7">
      <c r="A70" s="45">
        <v>65</v>
      </c>
      <c r="B70" s="46" t="s">
        <v>353</v>
      </c>
      <c r="C70" s="45">
        <v>5299</v>
      </c>
      <c r="D70" s="47">
        <f>176+140+203+155+144</f>
        <v>818</v>
      </c>
      <c r="E70" s="47">
        <f>143+116+164+151+175</f>
        <v>749</v>
      </c>
      <c r="F70" s="47">
        <f>173+205+172+163+147</f>
        <v>860</v>
      </c>
      <c r="G70" s="47">
        <f t="shared" ref="G70:G83" si="2">SUM(C70+D70+E70+F70)</f>
        <v>7726</v>
      </c>
    </row>
    <row r="71" spans="1:7">
      <c r="A71" s="45">
        <v>66</v>
      </c>
      <c r="B71" s="46" t="s">
        <v>98</v>
      </c>
      <c r="C71" s="45">
        <v>5125</v>
      </c>
      <c r="D71" s="47">
        <f>141+144+190+131+171</f>
        <v>777</v>
      </c>
      <c r="E71" s="47">
        <f>233+146+217+136+155</f>
        <v>887</v>
      </c>
      <c r="F71" s="47">
        <f>182+184+166+181+192</f>
        <v>905</v>
      </c>
      <c r="G71" s="47">
        <f t="shared" si="2"/>
        <v>7694</v>
      </c>
    </row>
    <row r="72" spans="1:7">
      <c r="A72" s="45">
        <v>67</v>
      </c>
      <c r="B72" s="46" t="s">
        <v>363</v>
      </c>
      <c r="C72" s="45">
        <v>5115</v>
      </c>
      <c r="D72" s="47">
        <f>175+165+136+203+142</f>
        <v>821</v>
      </c>
      <c r="E72" s="47">
        <f>187+156+180+169+195</f>
        <v>887</v>
      </c>
      <c r="F72" s="47">
        <f>179+132+145+218+190</f>
        <v>864</v>
      </c>
      <c r="G72" s="47">
        <f t="shared" si="2"/>
        <v>7687</v>
      </c>
    </row>
    <row r="73" spans="1:7">
      <c r="A73" s="45">
        <v>68</v>
      </c>
      <c r="B73" s="46" t="s">
        <v>703</v>
      </c>
      <c r="C73" s="45">
        <v>5044</v>
      </c>
      <c r="D73" s="47">
        <f>161+147+199+156+164</f>
        <v>827</v>
      </c>
      <c r="E73" s="47">
        <f>181+188+179+161+177</f>
        <v>886</v>
      </c>
      <c r="F73" s="47">
        <f>221+171+189+156+128</f>
        <v>865</v>
      </c>
      <c r="G73" s="47">
        <f t="shared" si="2"/>
        <v>7622</v>
      </c>
    </row>
    <row r="74" spans="1:7">
      <c r="A74" s="45">
        <v>69</v>
      </c>
      <c r="B74" s="46" t="s">
        <v>536</v>
      </c>
      <c r="C74" s="45">
        <v>5275</v>
      </c>
      <c r="D74" s="47">
        <f>146+182+163+173+160</f>
        <v>824</v>
      </c>
      <c r="E74" s="47">
        <f>188+174+133+135+175</f>
        <v>805</v>
      </c>
      <c r="F74" s="47">
        <f>164+114+128+127+166</f>
        <v>699</v>
      </c>
      <c r="G74" s="47">
        <f t="shared" si="2"/>
        <v>7603</v>
      </c>
    </row>
    <row r="75" spans="1:7">
      <c r="A75" s="45">
        <v>70</v>
      </c>
      <c r="B75" s="46" t="s">
        <v>781</v>
      </c>
      <c r="C75" s="45">
        <v>5128</v>
      </c>
      <c r="D75" s="47">
        <f>161+135+183+157+170</f>
        <v>806</v>
      </c>
      <c r="E75" s="47">
        <f>139+183+129+147+202</f>
        <v>800</v>
      </c>
      <c r="F75" s="47">
        <f>148+146+184+172+128</f>
        <v>778</v>
      </c>
      <c r="G75" s="47">
        <f t="shared" si="2"/>
        <v>7512</v>
      </c>
    </row>
    <row r="76" spans="1:7">
      <c r="A76" s="45">
        <v>71</v>
      </c>
      <c r="B76" s="46" t="s">
        <v>741</v>
      </c>
      <c r="C76" s="45">
        <v>4903</v>
      </c>
      <c r="D76" s="47">
        <f>125+187+166+206+182</f>
        <v>866</v>
      </c>
      <c r="E76" s="47">
        <f>160+166+210+222+137</f>
        <v>895</v>
      </c>
      <c r="F76" s="47">
        <f>178+160+141+179+146</f>
        <v>804</v>
      </c>
      <c r="G76" s="47">
        <f t="shared" si="2"/>
        <v>7468</v>
      </c>
    </row>
    <row r="77" spans="1:7">
      <c r="A77" s="45">
        <v>72</v>
      </c>
      <c r="B77" s="46" t="s">
        <v>190</v>
      </c>
      <c r="C77" s="45">
        <v>4834</v>
      </c>
      <c r="D77" s="47">
        <f>204+155+159+205+194</f>
        <v>917</v>
      </c>
      <c r="E77" s="47">
        <f>147+163+138+184+156</f>
        <v>788</v>
      </c>
      <c r="F77" s="47">
        <f>192+156+160+179+124</f>
        <v>811</v>
      </c>
      <c r="G77" s="47">
        <f t="shared" si="2"/>
        <v>7350</v>
      </c>
    </row>
    <row r="78" spans="1:7">
      <c r="A78" s="45">
        <v>73</v>
      </c>
      <c r="B78" s="46" t="s">
        <v>387</v>
      </c>
      <c r="C78" s="45">
        <v>4898</v>
      </c>
      <c r="D78" s="47">
        <f>203+138+207+139+132</f>
        <v>819</v>
      </c>
      <c r="E78" s="47">
        <f>128+169+149+161+188</f>
        <v>795</v>
      </c>
      <c r="F78" s="47">
        <f>170+133+155+163+155</f>
        <v>776</v>
      </c>
      <c r="G78" s="47">
        <f t="shared" si="2"/>
        <v>7288</v>
      </c>
    </row>
    <row r="79" spans="1:7">
      <c r="A79" s="45">
        <v>74</v>
      </c>
      <c r="B79" s="46" t="s">
        <v>665</v>
      </c>
      <c r="C79" s="45">
        <v>4830</v>
      </c>
      <c r="D79" s="47">
        <f>169+137+137+177+173</f>
        <v>793</v>
      </c>
      <c r="E79" s="47">
        <f>144+138+161+151+175</f>
        <v>769</v>
      </c>
      <c r="F79" s="47">
        <f>187+185+187+188+149</f>
        <v>896</v>
      </c>
      <c r="G79" s="47">
        <f t="shared" si="2"/>
        <v>7288</v>
      </c>
    </row>
    <row r="80" spans="1:7">
      <c r="A80" s="45">
        <v>75</v>
      </c>
      <c r="B80" s="46" t="s">
        <v>271</v>
      </c>
      <c r="C80" s="45">
        <v>4774</v>
      </c>
      <c r="D80" s="47">
        <f>172+114+163+213+141</f>
        <v>803</v>
      </c>
      <c r="E80" s="47">
        <f>145+141+130+161+159</f>
        <v>736</v>
      </c>
      <c r="F80" s="47">
        <f>210+137+145+152+143</f>
        <v>787</v>
      </c>
      <c r="G80" s="47">
        <f t="shared" si="2"/>
        <v>7100</v>
      </c>
    </row>
    <row r="81" spans="1:7">
      <c r="A81" s="45">
        <v>76</v>
      </c>
      <c r="B81" s="46" t="s">
        <v>526</v>
      </c>
      <c r="C81" s="45">
        <v>4605</v>
      </c>
      <c r="D81" s="47">
        <f>218+181+142+183+114</f>
        <v>838</v>
      </c>
      <c r="E81" s="47">
        <f>176+113+233+166+141</f>
        <v>829</v>
      </c>
      <c r="F81" s="47">
        <f>134+123+139+136+147</f>
        <v>679</v>
      </c>
      <c r="G81" s="47">
        <f t="shared" si="2"/>
        <v>6951</v>
      </c>
    </row>
    <row r="82" spans="1:7">
      <c r="A82" s="45">
        <v>77</v>
      </c>
      <c r="B82" s="46" t="s">
        <v>865</v>
      </c>
      <c r="C82" s="45">
        <v>4362</v>
      </c>
      <c r="D82" s="47">
        <f>169+136+132+124+133</f>
        <v>694</v>
      </c>
      <c r="E82" s="47">
        <f>170+163+152+123+128</f>
        <v>736</v>
      </c>
      <c r="F82" s="47">
        <f>104+114+142+164+159</f>
        <v>683</v>
      </c>
      <c r="G82" s="47">
        <f t="shared" si="2"/>
        <v>6475</v>
      </c>
    </row>
    <row r="83" spans="1:7">
      <c r="A83" s="45">
        <v>78</v>
      </c>
      <c r="B83" s="46" t="s">
        <v>402</v>
      </c>
      <c r="C83" s="45">
        <v>3964</v>
      </c>
      <c r="D83" s="47">
        <f>99+118+103+128+101</f>
        <v>549</v>
      </c>
      <c r="E83" s="47">
        <f>111+145+190+124+120</f>
        <v>690</v>
      </c>
      <c r="F83" s="47">
        <f>114+135+117+120+132</f>
        <v>618</v>
      </c>
      <c r="G83" s="47">
        <f t="shared" si="2"/>
        <v>5821</v>
      </c>
    </row>
  </sheetData>
  <mergeCells count="2">
    <mergeCell ref="A1:G1"/>
    <mergeCell ref="A2:G2"/>
  </mergeCells>
  <pageMargins left="0.7" right="0.7" top="0.75" bottom="0.75" header="0.3" footer="0.3"/>
  <pageSetup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Pict="0">
                <anchor moveWithCells="1" sizeWithCells="1">
                  <from>
                    <xdr:col>7</xdr:col>
                    <xdr:colOff>104775</xdr:colOff>
                    <xdr:row>4</xdr:row>
                    <xdr:rowOff>238125</xdr:rowOff>
                  </from>
                  <to>
                    <xdr:col>8</xdr:col>
                    <xdr:colOff>104775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71"/>
  <sheetViews>
    <sheetView workbookViewId="0">
      <selection activeCell="A3" sqref="A1:A1048576"/>
    </sheetView>
  </sheetViews>
  <sheetFormatPr defaultRowHeight="20.25"/>
  <cols>
    <col min="1" max="1" width="7.5703125" style="42" bestFit="1" customWidth="1"/>
    <col min="2" max="2" width="35.85546875" style="42" bestFit="1" customWidth="1"/>
    <col min="3" max="3" width="16.28515625" style="42" bestFit="1" customWidth="1"/>
    <col min="4" max="4" width="18.28515625" style="42" customWidth="1"/>
    <col min="5" max="5" width="17.28515625" style="49" customWidth="1"/>
    <col min="6" max="6" width="18.85546875" style="49" customWidth="1"/>
    <col min="7" max="7" width="12.5703125" style="49" customWidth="1"/>
    <col min="8" max="254" width="9.140625" style="42"/>
    <col min="255" max="255" width="7.5703125" style="42" bestFit="1" customWidth="1"/>
    <col min="256" max="256" width="73.85546875" style="42" bestFit="1" customWidth="1"/>
    <col min="257" max="257" width="16.28515625" style="42" bestFit="1" customWidth="1"/>
    <col min="258" max="258" width="14.28515625" style="42" bestFit="1" customWidth="1"/>
    <col min="259" max="262" width="12.28515625" style="42" bestFit="1" customWidth="1"/>
    <col min="263" max="263" width="11.28515625" style="42" bestFit="1" customWidth="1"/>
    <col min="264" max="510" width="9.140625" style="42"/>
    <col min="511" max="511" width="7.5703125" style="42" bestFit="1" customWidth="1"/>
    <col min="512" max="512" width="73.85546875" style="42" bestFit="1" customWidth="1"/>
    <col min="513" max="513" width="16.28515625" style="42" bestFit="1" customWidth="1"/>
    <col min="514" max="514" width="14.28515625" style="42" bestFit="1" customWidth="1"/>
    <col min="515" max="518" width="12.28515625" style="42" bestFit="1" customWidth="1"/>
    <col min="519" max="519" width="11.28515625" style="42" bestFit="1" customWidth="1"/>
    <col min="520" max="766" width="9.140625" style="42"/>
    <col min="767" max="767" width="7.5703125" style="42" bestFit="1" customWidth="1"/>
    <col min="768" max="768" width="73.85546875" style="42" bestFit="1" customWidth="1"/>
    <col min="769" max="769" width="16.28515625" style="42" bestFit="1" customWidth="1"/>
    <col min="770" max="770" width="14.28515625" style="42" bestFit="1" customWidth="1"/>
    <col min="771" max="774" width="12.28515625" style="42" bestFit="1" customWidth="1"/>
    <col min="775" max="775" width="11.28515625" style="42" bestFit="1" customWidth="1"/>
    <col min="776" max="1022" width="9.140625" style="42"/>
    <col min="1023" max="1023" width="7.5703125" style="42" bestFit="1" customWidth="1"/>
    <col min="1024" max="1024" width="73.85546875" style="42" bestFit="1" customWidth="1"/>
    <col min="1025" max="1025" width="16.28515625" style="42" bestFit="1" customWidth="1"/>
    <col min="1026" max="1026" width="14.28515625" style="42" bestFit="1" customWidth="1"/>
    <col min="1027" max="1030" width="12.28515625" style="42" bestFit="1" customWidth="1"/>
    <col min="1031" max="1031" width="11.28515625" style="42" bestFit="1" customWidth="1"/>
    <col min="1032" max="1278" width="9.140625" style="42"/>
    <col min="1279" max="1279" width="7.5703125" style="42" bestFit="1" customWidth="1"/>
    <col min="1280" max="1280" width="73.85546875" style="42" bestFit="1" customWidth="1"/>
    <col min="1281" max="1281" width="16.28515625" style="42" bestFit="1" customWidth="1"/>
    <col min="1282" max="1282" width="14.28515625" style="42" bestFit="1" customWidth="1"/>
    <col min="1283" max="1286" width="12.28515625" style="42" bestFit="1" customWidth="1"/>
    <col min="1287" max="1287" width="11.28515625" style="42" bestFit="1" customWidth="1"/>
    <col min="1288" max="1534" width="9.140625" style="42"/>
    <col min="1535" max="1535" width="7.5703125" style="42" bestFit="1" customWidth="1"/>
    <col min="1536" max="1536" width="73.85546875" style="42" bestFit="1" customWidth="1"/>
    <col min="1537" max="1537" width="16.28515625" style="42" bestFit="1" customWidth="1"/>
    <col min="1538" max="1538" width="14.28515625" style="42" bestFit="1" customWidth="1"/>
    <col min="1539" max="1542" width="12.28515625" style="42" bestFit="1" customWidth="1"/>
    <col min="1543" max="1543" width="11.28515625" style="42" bestFit="1" customWidth="1"/>
    <col min="1544" max="1790" width="9.140625" style="42"/>
    <col min="1791" max="1791" width="7.5703125" style="42" bestFit="1" customWidth="1"/>
    <col min="1792" max="1792" width="73.85546875" style="42" bestFit="1" customWidth="1"/>
    <col min="1793" max="1793" width="16.28515625" style="42" bestFit="1" customWidth="1"/>
    <col min="1794" max="1794" width="14.28515625" style="42" bestFit="1" customWidth="1"/>
    <col min="1795" max="1798" width="12.28515625" style="42" bestFit="1" customWidth="1"/>
    <col min="1799" max="1799" width="11.28515625" style="42" bestFit="1" customWidth="1"/>
    <col min="1800" max="2046" width="9.140625" style="42"/>
    <col min="2047" max="2047" width="7.5703125" style="42" bestFit="1" customWidth="1"/>
    <col min="2048" max="2048" width="73.85546875" style="42" bestFit="1" customWidth="1"/>
    <col min="2049" max="2049" width="16.28515625" style="42" bestFit="1" customWidth="1"/>
    <col min="2050" max="2050" width="14.28515625" style="42" bestFit="1" customWidth="1"/>
    <col min="2051" max="2054" width="12.28515625" style="42" bestFit="1" customWidth="1"/>
    <col min="2055" max="2055" width="11.28515625" style="42" bestFit="1" customWidth="1"/>
    <col min="2056" max="2302" width="9.140625" style="42"/>
    <col min="2303" max="2303" width="7.5703125" style="42" bestFit="1" customWidth="1"/>
    <col min="2304" max="2304" width="73.85546875" style="42" bestFit="1" customWidth="1"/>
    <col min="2305" max="2305" width="16.28515625" style="42" bestFit="1" customWidth="1"/>
    <col min="2306" max="2306" width="14.28515625" style="42" bestFit="1" customWidth="1"/>
    <col min="2307" max="2310" width="12.28515625" style="42" bestFit="1" customWidth="1"/>
    <col min="2311" max="2311" width="11.28515625" style="42" bestFit="1" customWidth="1"/>
    <col min="2312" max="2558" width="9.140625" style="42"/>
    <col min="2559" max="2559" width="7.5703125" style="42" bestFit="1" customWidth="1"/>
    <col min="2560" max="2560" width="73.85546875" style="42" bestFit="1" customWidth="1"/>
    <col min="2561" max="2561" width="16.28515625" style="42" bestFit="1" customWidth="1"/>
    <col min="2562" max="2562" width="14.28515625" style="42" bestFit="1" customWidth="1"/>
    <col min="2563" max="2566" width="12.28515625" style="42" bestFit="1" customWidth="1"/>
    <col min="2567" max="2567" width="11.28515625" style="42" bestFit="1" customWidth="1"/>
    <col min="2568" max="2814" width="9.140625" style="42"/>
    <col min="2815" max="2815" width="7.5703125" style="42" bestFit="1" customWidth="1"/>
    <col min="2816" max="2816" width="73.85546875" style="42" bestFit="1" customWidth="1"/>
    <col min="2817" max="2817" width="16.28515625" style="42" bestFit="1" customWidth="1"/>
    <col min="2818" max="2818" width="14.28515625" style="42" bestFit="1" customWidth="1"/>
    <col min="2819" max="2822" width="12.28515625" style="42" bestFit="1" customWidth="1"/>
    <col min="2823" max="2823" width="11.28515625" style="42" bestFit="1" customWidth="1"/>
    <col min="2824" max="3070" width="9.140625" style="42"/>
    <col min="3071" max="3071" width="7.5703125" style="42" bestFit="1" customWidth="1"/>
    <col min="3072" max="3072" width="73.85546875" style="42" bestFit="1" customWidth="1"/>
    <col min="3073" max="3073" width="16.28515625" style="42" bestFit="1" customWidth="1"/>
    <col min="3074" max="3074" width="14.28515625" style="42" bestFit="1" customWidth="1"/>
    <col min="3075" max="3078" width="12.28515625" style="42" bestFit="1" customWidth="1"/>
    <col min="3079" max="3079" width="11.28515625" style="42" bestFit="1" customWidth="1"/>
    <col min="3080" max="3326" width="9.140625" style="42"/>
    <col min="3327" max="3327" width="7.5703125" style="42" bestFit="1" customWidth="1"/>
    <col min="3328" max="3328" width="73.85546875" style="42" bestFit="1" customWidth="1"/>
    <col min="3329" max="3329" width="16.28515625" style="42" bestFit="1" customWidth="1"/>
    <col min="3330" max="3330" width="14.28515625" style="42" bestFit="1" customWidth="1"/>
    <col min="3331" max="3334" width="12.28515625" style="42" bestFit="1" customWidth="1"/>
    <col min="3335" max="3335" width="11.28515625" style="42" bestFit="1" customWidth="1"/>
    <col min="3336" max="3582" width="9.140625" style="42"/>
    <col min="3583" max="3583" width="7.5703125" style="42" bestFit="1" customWidth="1"/>
    <col min="3584" max="3584" width="73.85546875" style="42" bestFit="1" customWidth="1"/>
    <col min="3585" max="3585" width="16.28515625" style="42" bestFit="1" customWidth="1"/>
    <col min="3586" max="3586" width="14.28515625" style="42" bestFit="1" customWidth="1"/>
    <col min="3587" max="3590" width="12.28515625" style="42" bestFit="1" customWidth="1"/>
    <col min="3591" max="3591" width="11.28515625" style="42" bestFit="1" customWidth="1"/>
    <col min="3592" max="3838" width="9.140625" style="42"/>
    <col min="3839" max="3839" width="7.5703125" style="42" bestFit="1" customWidth="1"/>
    <col min="3840" max="3840" width="73.85546875" style="42" bestFit="1" customWidth="1"/>
    <col min="3841" max="3841" width="16.28515625" style="42" bestFit="1" customWidth="1"/>
    <col min="3842" max="3842" width="14.28515625" style="42" bestFit="1" customWidth="1"/>
    <col min="3843" max="3846" width="12.28515625" style="42" bestFit="1" customWidth="1"/>
    <col min="3847" max="3847" width="11.28515625" style="42" bestFit="1" customWidth="1"/>
    <col min="3848" max="4094" width="9.140625" style="42"/>
    <col min="4095" max="4095" width="7.5703125" style="42" bestFit="1" customWidth="1"/>
    <col min="4096" max="4096" width="73.85546875" style="42" bestFit="1" customWidth="1"/>
    <col min="4097" max="4097" width="16.28515625" style="42" bestFit="1" customWidth="1"/>
    <col min="4098" max="4098" width="14.28515625" style="42" bestFit="1" customWidth="1"/>
    <col min="4099" max="4102" width="12.28515625" style="42" bestFit="1" customWidth="1"/>
    <col min="4103" max="4103" width="11.28515625" style="42" bestFit="1" customWidth="1"/>
    <col min="4104" max="4350" width="9.140625" style="42"/>
    <col min="4351" max="4351" width="7.5703125" style="42" bestFit="1" customWidth="1"/>
    <col min="4352" max="4352" width="73.85546875" style="42" bestFit="1" customWidth="1"/>
    <col min="4353" max="4353" width="16.28515625" style="42" bestFit="1" customWidth="1"/>
    <col min="4354" max="4354" width="14.28515625" style="42" bestFit="1" customWidth="1"/>
    <col min="4355" max="4358" width="12.28515625" style="42" bestFit="1" customWidth="1"/>
    <col min="4359" max="4359" width="11.28515625" style="42" bestFit="1" customWidth="1"/>
    <col min="4360" max="4606" width="9.140625" style="42"/>
    <col min="4607" max="4607" width="7.5703125" style="42" bestFit="1" customWidth="1"/>
    <col min="4608" max="4608" width="73.85546875" style="42" bestFit="1" customWidth="1"/>
    <col min="4609" max="4609" width="16.28515625" style="42" bestFit="1" customWidth="1"/>
    <col min="4610" max="4610" width="14.28515625" style="42" bestFit="1" customWidth="1"/>
    <col min="4611" max="4614" width="12.28515625" style="42" bestFit="1" customWidth="1"/>
    <col min="4615" max="4615" width="11.28515625" style="42" bestFit="1" customWidth="1"/>
    <col min="4616" max="4862" width="9.140625" style="42"/>
    <col min="4863" max="4863" width="7.5703125" style="42" bestFit="1" customWidth="1"/>
    <col min="4864" max="4864" width="73.85546875" style="42" bestFit="1" customWidth="1"/>
    <col min="4865" max="4865" width="16.28515625" style="42" bestFit="1" customWidth="1"/>
    <col min="4866" max="4866" width="14.28515625" style="42" bestFit="1" customWidth="1"/>
    <col min="4867" max="4870" width="12.28515625" style="42" bestFit="1" customWidth="1"/>
    <col min="4871" max="4871" width="11.28515625" style="42" bestFit="1" customWidth="1"/>
    <col min="4872" max="5118" width="9.140625" style="42"/>
    <col min="5119" max="5119" width="7.5703125" style="42" bestFit="1" customWidth="1"/>
    <col min="5120" max="5120" width="73.85546875" style="42" bestFit="1" customWidth="1"/>
    <col min="5121" max="5121" width="16.28515625" style="42" bestFit="1" customWidth="1"/>
    <col min="5122" max="5122" width="14.28515625" style="42" bestFit="1" customWidth="1"/>
    <col min="5123" max="5126" width="12.28515625" style="42" bestFit="1" customWidth="1"/>
    <col min="5127" max="5127" width="11.28515625" style="42" bestFit="1" customWidth="1"/>
    <col min="5128" max="5374" width="9.140625" style="42"/>
    <col min="5375" max="5375" width="7.5703125" style="42" bestFit="1" customWidth="1"/>
    <col min="5376" max="5376" width="73.85546875" style="42" bestFit="1" customWidth="1"/>
    <col min="5377" max="5377" width="16.28515625" style="42" bestFit="1" customWidth="1"/>
    <col min="5378" max="5378" width="14.28515625" style="42" bestFit="1" customWidth="1"/>
    <col min="5379" max="5382" width="12.28515625" style="42" bestFit="1" customWidth="1"/>
    <col min="5383" max="5383" width="11.28515625" style="42" bestFit="1" customWidth="1"/>
    <col min="5384" max="5630" width="9.140625" style="42"/>
    <col min="5631" max="5631" width="7.5703125" style="42" bestFit="1" customWidth="1"/>
    <col min="5632" max="5632" width="73.85546875" style="42" bestFit="1" customWidth="1"/>
    <col min="5633" max="5633" width="16.28515625" style="42" bestFit="1" customWidth="1"/>
    <col min="5634" max="5634" width="14.28515625" style="42" bestFit="1" customWidth="1"/>
    <col min="5635" max="5638" width="12.28515625" style="42" bestFit="1" customWidth="1"/>
    <col min="5639" max="5639" width="11.28515625" style="42" bestFit="1" customWidth="1"/>
    <col min="5640" max="5886" width="9.140625" style="42"/>
    <col min="5887" max="5887" width="7.5703125" style="42" bestFit="1" customWidth="1"/>
    <col min="5888" max="5888" width="73.85546875" style="42" bestFit="1" customWidth="1"/>
    <col min="5889" max="5889" width="16.28515625" style="42" bestFit="1" customWidth="1"/>
    <col min="5890" max="5890" width="14.28515625" style="42" bestFit="1" customWidth="1"/>
    <col min="5891" max="5894" width="12.28515625" style="42" bestFit="1" customWidth="1"/>
    <col min="5895" max="5895" width="11.28515625" style="42" bestFit="1" customWidth="1"/>
    <col min="5896" max="6142" width="9.140625" style="42"/>
    <col min="6143" max="6143" width="7.5703125" style="42" bestFit="1" customWidth="1"/>
    <col min="6144" max="6144" width="73.85546875" style="42" bestFit="1" customWidth="1"/>
    <col min="6145" max="6145" width="16.28515625" style="42" bestFit="1" customWidth="1"/>
    <col min="6146" max="6146" width="14.28515625" style="42" bestFit="1" customWidth="1"/>
    <col min="6147" max="6150" width="12.28515625" style="42" bestFit="1" customWidth="1"/>
    <col min="6151" max="6151" width="11.28515625" style="42" bestFit="1" customWidth="1"/>
    <col min="6152" max="6398" width="9.140625" style="42"/>
    <col min="6399" max="6399" width="7.5703125" style="42" bestFit="1" customWidth="1"/>
    <col min="6400" max="6400" width="73.85546875" style="42" bestFit="1" customWidth="1"/>
    <col min="6401" max="6401" width="16.28515625" style="42" bestFit="1" customWidth="1"/>
    <col min="6402" max="6402" width="14.28515625" style="42" bestFit="1" customWidth="1"/>
    <col min="6403" max="6406" width="12.28515625" style="42" bestFit="1" customWidth="1"/>
    <col min="6407" max="6407" width="11.28515625" style="42" bestFit="1" customWidth="1"/>
    <col min="6408" max="6654" width="9.140625" style="42"/>
    <col min="6655" max="6655" width="7.5703125" style="42" bestFit="1" customWidth="1"/>
    <col min="6656" max="6656" width="73.85546875" style="42" bestFit="1" customWidth="1"/>
    <col min="6657" max="6657" width="16.28515625" style="42" bestFit="1" customWidth="1"/>
    <col min="6658" max="6658" width="14.28515625" style="42" bestFit="1" customWidth="1"/>
    <col min="6659" max="6662" width="12.28515625" style="42" bestFit="1" customWidth="1"/>
    <col min="6663" max="6663" width="11.28515625" style="42" bestFit="1" customWidth="1"/>
    <col min="6664" max="6910" width="9.140625" style="42"/>
    <col min="6911" max="6911" width="7.5703125" style="42" bestFit="1" customWidth="1"/>
    <col min="6912" max="6912" width="73.85546875" style="42" bestFit="1" customWidth="1"/>
    <col min="6913" max="6913" width="16.28515625" style="42" bestFit="1" customWidth="1"/>
    <col min="6914" max="6914" width="14.28515625" style="42" bestFit="1" customWidth="1"/>
    <col min="6915" max="6918" width="12.28515625" style="42" bestFit="1" customWidth="1"/>
    <col min="6919" max="6919" width="11.28515625" style="42" bestFit="1" customWidth="1"/>
    <col min="6920" max="7166" width="9.140625" style="42"/>
    <col min="7167" max="7167" width="7.5703125" style="42" bestFit="1" customWidth="1"/>
    <col min="7168" max="7168" width="73.85546875" style="42" bestFit="1" customWidth="1"/>
    <col min="7169" max="7169" width="16.28515625" style="42" bestFit="1" customWidth="1"/>
    <col min="7170" max="7170" width="14.28515625" style="42" bestFit="1" customWidth="1"/>
    <col min="7171" max="7174" width="12.28515625" style="42" bestFit="1" customWidth="1"/>
    <col min="7175" max="7175" width="11.28515625" style="42" bestFit="1" customWidth="1"/>
    <col min="7176" max="7422" width="9.140625" style="42"/>
    <col min="7423" max="7423" width="7.5703125" style="42" bestFit="1" customWidth="1"/>
    <col min="7424" max="7424" width="73.85546875" style="42" bestFit="1" customWidth="1"/>
    <col min="7425" max="7425" width="16.28515625" style="42" bestFit="1" customWidth="1"/>
    <col min="7426" max="7426" width="14.28515625" style="42" bestFit="1" customWidth="1"/>
    <col min="7427" max="7430" width="12.28515625" style="42" bestFit="1" customWidth="1"/>
    <col min="7431" max="7431" width="11.28515625" style="42" bestFit="1" customWidth="1"/>
    <col min="7432" max="7678" width="9.140625" style="42"/>
    <col min="7679" max="7679" width="7.5703125" style="42" bestFit="1" customWidth="1"/>
    <col min="7680" max="7680" width="73.85546875" style="42" bestFit="1" customWidth="1"/>
    <col min="7681" max="7681" width="16.28515625" style="42" bestFit="1" customWidth="1"/>
    <col min="7682" max="7682" width="14.28515625" style="42" bestFit="1" customWidth="1"/>
    <col min="7683" max="7686" width="12.28515625" style="42" bestFit="1" customWidth="1"/>
    <col min="7687" max="7687" width="11.28515625" style="42" bestFit="1" customWidth="1"/>
    <col min="7688" max="7934" width="9.140625" style="42"/>
    <col min="7935" max="7935" width="7.5703125" style="42" bestFit="1" customWidth="1"/>
    <col min="7936" max="7936" width="73.85546875" style="42" bestFit="1" customWidth="1"/>
    <col min="7937" max="7937" width="16.28515625" style="42" bestFit="1" customWidth="1"/>
    <col min="7938" max="7938" width="14.28515625" style="42" bestFit="1" customWidth="1"/>
    <col min="7939" max="7942" width="12.28515625" style="42" bestFit="1" customWidth="1"/>
    <col min="7943" max="7943" width="11.28515625" style="42" bestFit="1" customWidth="1"/>
    <col min="7944" max="8190" width="9.140625" style="42"/>
    <col min="8191" max="8191" width="7.5703125" style="42" bestFit="1" customWidth="1"/>
    <col min="8192" max="8192" width="73.85546875" style="42" bestFit="1" customWidth="1"/>
    <col min="8193" max="8193" width="16.28515625" style="42" bestFit="1" customWidth="1"/>
    <col min="8194" max="8194" width="14.28515625" style="42" bestFit="1" customWidth="1"/>
    <col min="8195" max="8198" width="12.28515625" style="42" bestFit="1" customWidth="1"/>
    <col min="8199" max="8199" width="11.28515625" style="42" bestFit="1" customWidth="1"/>
    <col min="8200" max="8446" width="9.140625" style="42"/>
    <col min="8447" max="8447" width="7.5703125" style="42" bestFit="1" customWidth="1"/>
    <col min="8448" max="8448" width="73.85546875" style="42" bestFit="1" customWidth="1"/>
    <col min="8449" max="8449" width="16.28515625" style="42" bestFit="1" customWidth="1"/>
    <col min="8450" max="8450" width="14.28515625" style="42" bestFit="1" customWidth="1"/>
    <col min="8451" max="8454" width="12.28515625" style="42" bestFit="1" customWidth="1"/>
    <col min="8455" max="8455" width="11.28515625" style="42" bestFit="1" customWidth="1"/>
    <col min="8456" max="8702" width="9.140625" style="42"/>
    <col min="8703" max="8703" width="7.5703125" style="42" bestFit="1" customWidth="1"/>
    <col min="8704" max="8704" width="73.85546875" style="42" bestFit="1" customWidth="1"/>
    <col min="8705" max="8705" width="16.28515625" style="42" bestFit="1" customWidth="1"/>
    <col min="8706" max="8706" width="14.28515625" style="42" bestFit="1" customWidth="1"/>
    <col min="8707" max="8710" width="12.28515625" style="42" bestFit="1" customWidth="1"/>
    <col min="8711" max="8711" width="11.28515625" style="42" bestFit="1" customWidth="1"/>
    <col min="8712" max="8958" width="9.140625" style="42"/>
    <col min="8959" max="8959" width="7.5703125" style="42" bestFit="1" customWidth="1"/>
    <col min="8960" max="8960" width="73.85546875" style="42" bestFit="1" customWidth="1"/>
    <col min="8961" max="8961" width="16.28515625" style="42" bestFit="1" customWidth="1"/>
    <col min="8962" max="8962" width="14.28515625" style="42" bestFit="1" customWidth="1"/>
    <col min="8963" max="8966" width="12.28515625" style="42" bestFit="1" customWidth="1"/>
    <col min="8967" max="8967" width="11.28515625" style="42" bestFit="1" customWidth="1"/>
    <col min="8968" max="9214" width="9.140625" style="42"/>
    <col min="9215" max="9215" width="7.5703125" style="42" bestFit="1" customWidth="1"/>
    <col min="9216" max="9216" width="73.85546875" style="42" bestFit="1" customWidth="1"/>
    <col min="9217" max="9217" width="16.28515625" style="42" bestFit="1" customWidth="1"/>
    <col min="9218" max="9218" width="14.28515625" style="42" bestFit="1" customWidth="1"/>
    <col min="9219" max="9222" width="12.28515625" style="42" bestFit="1" customWidth="1"/>
    <col min="9223" max="9223" width="11.28515625" style="42" bestFit="1" customWidth="1"/>
    <col min="9224" max="9470" width="9.140625" style="42"/>
    <col min="9471" max="9471" width="7.5703125" style="42" bestFit="1" customWidth="1"/>
    <col min="9472" max="9472" width="73.85546875" style="42" bestFit="1" customWidth="1"/>
    <col min="9473" max="9473" width="16.28515625" style="42" bestFit="1" customWidth="1"/>
    <col min="9474" max="9474" width="14.28515625" style="42" bestFit="1" customWidth="1"/>
    <col min="9475" max="9478" width="12.28515625" style="42" bestFit="1" customWidth="1"/>
    <col min="9479" max="9479" width="11.28515625" style="42" bestFit="1" customWidth="1"/>
    <col min="9480" max="9726" width="9.140625" style="42"/>
    <col min="9727" max="9727" width="7.5703125" style="42" bestFit="1" customWidth="1"/>
    <col min="9728" max="9728" width="73.85546875" style="42" bestFit="1" customWidth="1"/>
    <col min="9729" max="9729" width="16.28515625" style="42" bestFit="1" customWidth="1"/>
    <col min="9730" max="9730" width="14.28515625" style="42" bestFit="1" customWidth="1"/>
    <col min="9731" max="9734" width="12.28515625" style="42" bestFit="1" customWidth="1"/>
    <col min="9735" max="9735" width="11.28515625" style="42" bestFit="1" customWidth="1"/>
    <col min="9736" max="9982" width="9.140625" style="42"/>
    <col min="9983" max="9983" width="7.5703125" style="42" bestFit="1" customWidth="1"/>
    <col min="9984" max="9984" width="73.85546875" style="42" bestFit="1" customWidth="1"/>
    <col min="9985" max="9985" width="16.28515625" style="42" bestFit="1" customWidth="1"/>
    <col min="9986" max="9986" width="14.28515625" style="42" bestFit="1" customWidth="1"/>
    <col min="9987" max="9990" width="12.28515625" style="42" bestFit="1" customWidth="1"/>
    <col min="9991" max="9991" width="11.28515625" style="42" bestFit="1" customWidth="1"/>
    <col min="9992" max="10238" width="9.140625" style="42"/>
    <col min="10239" max="10239" width="7.5703125" style="42" bestFit="1" customWidth="1"/>
    <col min="10240" max="10240" width="73.85546875" style="42" bestFit="1" customWidth="1"/>
    <col min="10241" max="10241" width="16.28515625" style="42" bestFit="1" customWidth="1"/>
    <col min="10242" max="10242" width="14.28515625" style="42" bestFit="1" customWidth="1"/>
    <col min="10243" max="10246" width="12.28515625" style="42" bestFit="1" customWidth="1"/>
    <col min="10247" max="10247" width="11.28515625" style="42" bestFit="1" customWidth="1"/>
    <col min="10248" max="10494" width="9.140625" style="42"/>
    <col min="10495" max="10495" width="7.5703125" style="42" bestFit="1" customWidth="1"/>
    <col min="10496" max="10496" width="73.85546875" style="42" bestFit="1" customWidth="1"/>
    <col min="10497" max="10497" width="16.28515625" style="42" bestFit="1" customWidth="1"/>
    <col min="10498" max="10498" width="14.28515625" style="42" bestFit="1" customWidth="1"/>
    <col min="10499" max="10502" width="12.28515625" style="42" bestFit="1" customWidth="1"/>
    <col min="10503" max="10503" width="11.28515625" style="42" bestFit="1" customWidth="1"/>
    <col min="10504" max="10750" width="9.140625" style="42"/>
    <col min="10751" max="10751" width="7.5703125" style="42" bestFit="1" customWidth="1"/>
    <col min="10752" max="10752" width="73.85546875" style="42" bestFit="1" customWidth="1"/>
    <col min="10753" max="10753" width="16.28515625" style="42" bestFit="1" customWidth="1"/>
    <col min="10754" max="10754" width="14.28515625" style="42" bestFit="1" customWidth="1"/>
    <col min="10755" max="10758" width="12.28515625" style="42" bestFit="1" customWidth="1"/>
    <col min="10759" max="10759" width="11.28515625" style="42" bestFit="1" customWidth="1"/>
    <col min="10760" max="11006" width="9.140625" style="42"/>
    <col min="11007" max="11007" width="7.5703125" style="42" bestFit="1" customWidth="1"/>
    <col min="11008" max="11008" width="73.85546875" style="42" bestFit="1" customWidth="1"/>
    <col min="11009" max="11009" width="16.28515625" style="42" bestFit="1" customWidth="1"/>
    <col min="11010" max="11010" width="14.28515625" style="42" bestFit="1" customWidth="1"/>
    <col min="11011" max="11014" width="12.28515625" style="42" bestFit="1" customWidth="1"/>
    <col min="11015" max="11015" width="11.28515625" style="42" bestFit="1" customWidth="1"/>
    <col min="11016" max="11262" width="9.140625" style="42"/>
    <col min="11263" max="11263" width="7.5703125" style="42" bestFit="1" customWidth="1"/>
    <col min="11264" max="11264" width="73.85546875" style="42" bestFit="1" customWidth="1"/>
    <col min="11265" max="11265" width="16.28515625" style="42" bestFit="1" customWidth="1"/>
    <col min="11266" max="11266" width="14.28515625" style="42" bestFit="1" customWidth="1"/>
    <col min="11267" max="11270" width="12.28515625" style="42" bestFit="1" customWidth="1"/>
    <col min="11271" max="11271" width="11.28515625" style="42" bestFit="1" customWidth="1"/>
    <col min="11272" max="11518" width="9.140625" style="42"/>
    <col min="11519" max="11519" width="7.5703125" style="42" bestFit="1" customWidth="1"/>
    <col min="11520" max="11520" width="73.85546875" style="42" bestFit="1" customWidth="1"/>
    <col min="11521" max="11521" width="16.28515625" style="42" bestFit="1" customWidth="1"/>
    <col min="11522" max="11522" width="14.28515625" style="42" bestFit="1" customWidth="1"/>
    <col min="11523" max="11526" width="12.28515625" style="42" bestFit="1" customWidth="1"/>
    <col min="11527" max="11527" width="11.28515625" style="42" bestFit="1" customWidth="1"/>
    <col min="11528" max="11774" width="9.140625" style="42"/>
    <col min="11775" max="11775" width="7.5703125" style="42" bestFit="1" customWidth="1"/>
    <col min="11776" max="11776" width="73.85546875" style="42" bestFit="1" customWidth="1"/>
    <col min="11777" max="11777" width="16.28515625" style="42" bestFit="1" customWidth="1"/>
    <col min="11778" max="11778" width="14.28515625" style="42" bestFit="1" customWidth="1"/>
    <col min="11779" max="11782" width="12.28515625" style="42" bestFit="1" customWidth="1"/>
    <col min="11783" max="11783" width="11.28515625" style="42" bestFit="1" customWidth="1"/>
    <col min="11784" max="12030" width="9.140625" style="42"/>
    <col min="12031" max="12031" width="7.5703125" style="42" bestFit="1" customWidth="1"/>
    <col min="12032" max="12032" width="73.85546875" style="42" bestFit="1" customWidth="1"/>
    <col min="12033" max="12033" width="16.28515625" style="42" bestFit="1" customWidth="1"/>
    <col min="12034" max="12034" width="14.28515625" style="42" bestFit="1" customWidth="1"/>
    <col min="12035" max="12038" width="12.28515625" style="42" bestFit="1" customWidth="1"/>
    <col min="12039" max="12039" width="11.28515625" style="42" bestFit="1" customWidth="1"/>
    <col min="12040" max="12286" width="9.140625" style="42"/>
    <col min="12287" max="12287" width="7.5703125" style="42" bestFit="1" customWidth="1"/>
    <col min="12288" max="12288" width="73.85546875" style="42" bestFit="1" customWidth="1"/>
    <col min="12289" max="12289" width="16.28515625" style="42" bestFit="1" customWidth="1"/>
    <col min="12290" max="12290" width="14.28515625" style="42" bestFit="1" customWidth="1"/>
    <col min="12291" max="12294" width="12.28515625" style="42" bestFit="1" customWidth="1"/>
    <col min="12295" max="12295" width="11.28515625" style="42" bestFit="1" customWidth="1"/>
    <col min="12296" max="12542" width="9.140625" style="42"/>
    <col min="12543" max="12543" width="7.5703125" style="42" bestFit="1" customWidth="1"/>
    <col min="12544" max="12544" width="73.85546875" style="42" bestFit="1" customWidth="1"/>
    <col min="12545" max="12545" width="16.28515625" style="42" bestFit="1" customWidth="1"/>
    <col min="12546" max="12546" width="14.28515625" style="42" bestFit="1" customWidth="1"/>
    <col min="12547" max="12550" width="12.28515625" style="42" bestFit="1" customWidth="1"/>
    <col min="12551" max="12551" width="11.28515625" style="42" bestFit="1" customWidth="1"/>
    <col min="12552" max="12798" width="9.140625" style="42"/>
    <col min="12799" max="12799" width="7.5703125" style="42" bestFit="1" customWidth="1"/>
    <col min="12800" max="12800" width="73.85546875" style="42" bestFit="1" customWidth="1"/>
    <col min="12801" max="12801" width="16.28515625" style="42" bestFit="1" customWidth="1"/>
    <col min="12802" max="12802" width="14.28515625" style="42" bestFit="1" customWidth="1"/>
    <col min="12803" max="12806" width="12.28515625" style="42" bestFit="1" customWidth="1"/>
    <col min="12807" max="12807" width="11.28515625" style="42" bestFit="1" customWidth="1"/>
    <col min="12808" max="13054" width="9.140625" style="42"/>
    <col min="13055" max="13055" width="7.5703125" style="42" bestFit="1" customWidth="1"/>
    <col min="13056" max="13056" width="73.85546875" style="42" bestFit="1" customWidth="1"/>
    <col min="13057" max="13057" width="16.28515625" style="42" bestFit="1" customWidth="1"/>
    <col min="13058" max="13058" width="14.28515625" style="42" bestFit="1" customWidth="1"/>
    <col min="13059" max="13062" width="12.28515625" style="42" bestFit="1" customWidth="1"/>
    <col min="13063" max="13063" width="11.28515625" style="42" bestFit="1" customWidth="1"/>
    <col min="13064" max="13310" width="9.140625" style="42"/>
    <col min="13311" max="13311" width="7.5703125" style="42" bestFit="1" customWidth="1"/>
    <col min="13312" max="13312" width="73.85546875" style="42" bestFit="1" customWidth="1"/>
    <col min="13313" max="13313" width="16.28515625" style="42" bestFit="1" customWidth="1"/>
    <col min="13314" max="13314" width="14.28515625" style="42" bestFit="1" customWidth="1"/>
    <col min="13315" max="13318" width="12.28515625" style="42" bestFit="1" customWidth="1"/>
    <col min="13319" max="13319" width="11.28515625" style="42" bestFit="1" customWidth="1"/>
    <col min="13320" max="13566" width="9.140625" style="42"/>
    <col min="13567" max="13567" width="7.5703125" style="42" bestFit="1" customWidth="1"/>
    <col min="13568" max="13568" width="73.85546875" style="42" bestFit="1" customWidth="1"/>
    <col min="13569" max="13569" width="16.28515625" style="42" bestFit="1" customWidth="1"/>
    <col min="13570" max="13570" width="14.28515625" style="42" bestFit="1" customWidth="1"/>
    <col min="13571" max="13574" width="12.28515625" style="42" bestFit="1" customWidth="1"/>
    <col min="13575" max="13575" width="11.28515625" style="42" bestFit="1" customWidth="1"/>
    <col min="13576" max="13822" width="9.140625" style="42"/>
    <col min="13823" max="13823" width="7.5703125" style="42" bestFit="1" customWidth="1"/>
    <col min="13824" max="13824" width="73.85546875" style="42" bestFit="1" customWidth="1"/>
    <col min="13825" max="13825" width="16.28515625" style="42" bestFit="1" customWidth="1"/>
    <col min="13826" max="13826" width="14.28515625" style="42" bestFit="1" customWidth="1"/>
    <col min="13827" max="13830" width="12.28515625" style="42" bestFit="1" customWidth="1"/>
    <col min="13831" max="13831" width="11.28515625" style="42" bestFit="1" customWidth="1"/>
    <col min="13832" max="14078" width="9.140625" style="42"/>
    <col min="14079" max="14079" width="7.5703125" style="42" bestFit="1" customWidth="1"/>
    <col min="14080" max="14080" width="73.85546875" style="42" bestFit="1" customWidth="1"/>
    <col min="14081" max="14081" width="16.28515625" style="42" bestFit="1" customWidth="1"/>
    <col min="14082" max="14082" width="14.28515625" style="42" bestFit="1" customWidth="1"/>
    <col min="14083" max="14086" width="12.28515625" style="42" bestFit="1" customWidth="1"/>
    <col min="14087" max="14087" width="11.28515625" style="42" bestFit="1" customWidth="1"/>
    <col min="14088" max="14334" width="9.140625" style="42"/>
    <col min="14335" max="14335" width="7.5703125" style="42" bestFit="1" customWidth="1"/>
    <col min="14336" max="14336" width="73.85546875" style="42" bestFit="1" customWidth="1"/>
    <col min="14337" max="14337" width="16.28515625" style="42" bestFit="1" customWidth="1"/>
    <col min="14338" max="14338" width="14.28515625" style="42" bestFit="1" customWidth="1"/>
    <col min="14339" max="14342" width="12.28515625" style="42" bestFit="1" customWidth="1"/>
    <col min="14343" max="14343" width="11.28515625" style="42" bestFit="1" customWidth="1"/>
    <col min="14344" max="14590" width="9.140625" style="42"/>
    <col min="14591" max="14591" width="7.5703125" style="42" bestFit="1" customWidth="1"/>
    <col min="14592" max="14592" width="73.85546875" style="42" bestFit="1" customWidth="1"/>
    <col min="14593" max="14593" width="16.28515625" style="42" bestFit="1" customWidth="1"/>
    <col min="14594" max="14594" width="14.28515625" style="42" bestFit="1" customWidth="1"/>
    <col min="14595" max="14598" width="12.28515625" style="42" bestFit="1" customWidth="1"/>
    <col min="14599" max="14599" width="11.28515625" style="42" bestFit="1" customWidth="1"/>
    <col min="14600" max="14846" width="9.140625" style="42"/>
    <col min="14847" max="14847" width="7.5703125" style="42" bestFit="1" customWidth="1"/>
    <col min="14848" max="14848" width="73.85546875" style="42" bestFit="1" customWidth="1"/>
    <col min="14849" max="14849" width="16.28515625" style="42" bestFit="1" customWidth="1"/>
    <col min="14850" max="14850" width="14.28515625" style="42" bestFit="1" customWidth="1"/>
    <col min="14851" max="14854" width="12.28515625" style="42" bestFit="1" customWidth="1"/>
    <col min="14855" max="14855" width="11.28515625" style="42" bestFit="1" customWidth="1"/>
    <col min="14856" max="15102" width="9.140625" style="42"/>
    <col min="15103" max="15103" width="7.5703125" style="42" bestFit="1" customWidth="1"/>
    <col min="15104" max="15104" width="73.85546875" style="42" bestFit="1" customWidth="1"/>
    <col min="15105" max="15105" width="16.28515625" style="42" bestFit="1" customWidth="1"/>
    <col min="15106" max="15106" width="14.28515625" style="42" bestFit="1" customWidth="1"/>
    <col min="15107" max="15110" width="12.28515625" style="42" bestFit="1" customWidth="1"/>
    <col min="15111" max="15111" width="11.28515625" style="42" bestFit="1" customWidth="1"/>
    <col min="15112" max="15358" width="9.140625" style="42"/>
    <col min="15359" max="15359" width="7.5703125" style="42" bestFit="1" customWidth="1"/>
    <col min="15360" max="15360" width="73.85546875" style="42" bestFit="1" customWidth="1"/>
    <col min="15361" max="15361" width="16.28515625" style="42" bestFit="1" customWidth="1"/>
    <col min="15362" max="15362" width="14.28515625" style="42" bestFit="1" customWidth="1"/>
    <col min="15363" max="15366" width="12.28515625" style="42" bestFit="1" customWidth="1"/>
    <col min="15367" max="15367" width="11.28515625" style="42" bestFit="1" customWidth="1"/>
    <col min="15368" max="15614" width="9.140625" style="42"/>
    <col min="15615" max="15615" width="7.5703125" style="42" bestFit="1" customWidth="1"/>
    <col min="15616" max="15616" width="73.85546875" style="42" bestFit="1" customWidth="1"/>
    <col min="15617" max="15617" width="16.28515625" style="42" bestFit="1" customWidth="1"/>
    <col min="15618" max="15618" width="14.28515625" style="42" bestFit="1" customWidth="1"/>
    <col min="15619" max="15622" width="12.28515625" style="42" bestFit="1" customWidth="1"/>
    <col min="15623" max="15623" width="11.28515625" style="42" bestFit="1" customWidth="1"/>
    <col min="15624" max="15870" width="9.140625" style="42"/>
    <col min="15871" max="15871" width="7.5703125" style="42" bestFit="1" customWidth="1"/>
    <col min="15872" max="15872" width="73.85546875" style="42" bestFit="1" customWidth="1"/>
    <col min="15873" max="15873" width="16.28515625" style="42" bestFit="1" customWidth="1"/>
    <col min="15874" max="15874" width="14.28515625" style="42" bestFit="1" customWidth="1"/>
    <col min="15875" max="15878" width="12.28515625" style="42" bestFit="1" customWidth="1"/>
    <col min="15879" max="15879" width="11.28515625" style="42" bestFit="1" customWidth="1"/>
    <col min="15880" max="16126" width="9.140625" style="42"/>
    <col min="16127" max="16127" width="7.5703125" style="42" bestFit="1" customWidth="1"/>
    <col min="16128" max="16128" width="73.85546875" style="42" bestFit="1" customWidth="1"/>
    <col min="16129" max="16129" width="16.28515625" style="42" bestFit="1" customWidth="1"/>
    <col min="16130" max="16130" width="14.28515625" style="42" bestFit="1" customWidth="1"/>
    <col min="16131" max="16134" width="12.28515625" style="42" bestFit="1" customWidth="1"/>
    <col min="16135" max="16135" width="11.28515625" style="42" bestFit="1" customWidth="1"/>
    <col min="16136" max="16384" width="9.140625" style="42"/>
  </cols>
  <sheetData>
    <row r="1" spans="1:7">
      <c r="A1" s="79" t="s">
        <v>1538</v>
      </c>
      <c r="B1" s="79"/>
      <c r="C1" s="79"/>
      <c r="D1" s="79"/>
      <c r="E1" s="79"/>
      <c r="F1" s="79"/>
      <c r="G1" s="79"/>
    </row>
    <row r="2" spans="1:7">
      <c r="A2" s="80" t="s">
        <v>1565</v>
      </c>
      <c r="B2" s="80"/>
      <c r="C2" s="80"/>
      <c r="D2" s="80"/>
      <c r="E2" s="80"/>
      <c r="F2" s="80"/>
      <c r="G2" s="80"/>
    </row>
    <row r="3" spans="1:7">
      <c r="E3" s="42"/>
      <c r="F3" s="42"/>
      <c r="G3" s="42"/>
    </row>
    <row r="4" spans="1:7">
      <c r="A4" s="43" t="s">
        <v>1540</v>
      </c>
      <c r="B4" s="43" t="s">
        <v>1543</v>
      </c>
      <c r="C4" s="43" t="s">
        <v>1561</v>
      </c>
      <c r="D4" s="43" t="s">
        <v>1562</v>
      </c>
      <c r="E4" s="43" t="s">
        <v>1563</v>
      </c>
      <c r="F4" s="43" t="s">
        <v>1564</v>
      </c>
      <c r="G4" s="43" t="s">
        <v>1550</v>
      </c>
    </row>
    <row r="5" spans="1:7">
      <c r="A5" s="44"/>
      <c r="B5" s="43"/>
      <c r="C5" s="43"/>
      <c r="D5" s="43"/>
      <c r="E5" s="43"/>
      <c r="F5" s="43"/>
      <c r="G5" s="43"/>
    </row>
    <row r="6" spans="1:7">
      <c r="A6" s="45">
        <f>RANK(G6,$G$6:$G$80)</f>
        <v>1</v>
      </c>
      <c r="B6" s="46" t="s">
        <v>501</v>
      </c>
      <c r="C6" s="45">
        <v>5851</v>
      </c>
      <c r="D6" s="47">
        <f>214+222+234+290+198</f>
        <v>1158</v>
      </c>
      <c r="E6" s="47">
        <f>205+192+221+225+204</f>
        <v>1047</v>
      </c>
      <c r="F6" s="47">
        <f>201+189+243+202+200</f>
        <v>1035</v>
      </c>
      <c r="G6" s="47">
        <f t="shared" ref="G6:G69" si="0">SUM(C6+D6+E6+F6)</f>
        <v>9091</v>
      </c>
    </row>
    <row r="7" spans="1:7">
      <c r="A7" s="45">
        <f t="shared" ref="A7:A70" si="1">RANK(G7,$G$6:$G$80)</f>
        <v>2</v>
      </c>
      <c r="B7" s="46" t="s">
        <v>817</v>
      </c>
      <c r="C7" s="45">
        <v>6011</v>
      </c>
      <c r="D7" s="47">
        <f>191+215+191+192+169</f>
        <v>958</v>
      </c>
      <c r="E7" s="47">
        <f>193+178+170+212+165</f>
        <v>918</v>
      </c>
      <c r="F7" s="47">
        <f>225+224+218+150+179</f>
        <v>996</v>
      </c>
      <c r="G7" s="47">
        <f t="shared" si="0"/>
        <v>8883</v>
      </c>
    </row>
    <row r="8" spans="1:7">
      <c r="A8" s="45">
        <f t="shared" si="1"/>
        <v>3</v>
      </c>
      <c r="B8" s="46" t="s">
        <v>827</v>
      </c>
      <c r="C8" s="45">
        <v>5918</v>
      </c>
      <c r="D8" s="47">
        <f>159+215+190+171+235</f>
        <v>970</v>
      </c>
      <c r="E8" s="47">
        <f>159+203+165+235+177</f>
        <v>939</v>
      </c>
      <c r="F8" s="47">
        <f>173+162+188+234+236</f>
        <v>993</v>
      </c>
      <c r="G8" s="47">
        <f t="shared" si="0"/>
        <v>8820</v>
      </c>
    </row>
    <row r="9" spans="1:7">
      <c r="A9" s="45">
        <f t="shared" si="1"/>
        <v>4</v>
      </c>
      <c r="B9" s="46" t="s">
        <v>729</v>
      </c>
      <c r="C9" s="45">
        <v>6003</v>
      </c>
      <c r="D9" s="47">
        <f>183+155+214+153+203</f>
        <v>908</v>
      </c>
      <c r="E9" s="47">
        <f>165+147+160+184+192</f>
        <v>848</v>
      </c>
      <c r="F9" s="47">
        <f>186+194+189+221+199</f>
        <v>989</v>
      </c>
      <c r="G9" s="47">
        <f t="shared" si="0"/>
        <v>8748</v>
      </c>
    </row>
    <row r="10" spans="1:7">
      <c r="A10" s="45">
        <f t="shared" si="1"/>
        <v>5</v>
      </c>
      <c r="B10" s="46" t="s">
        <v>464</v>
      </c>
      <c r="C10" s="45">
        <v>5940</v>
      </c>
      <c r="D10" s="47">
        <f>189+168+227+163+231</f>
        <v>978</v>
      </c>
      <c r="E10" s="47">
        <f>146+172+130+172+167</f>
        <v>787</v>
      </c>
      <c r="F10" s="47">
        <f>205+190+171+190+159</f>
        <v>915</v>
      </c>
      <c r="G10" s="47">
        <f t="shared" si="0"/>
        <v>8620</v>
      </c>
    </row>
    <row r="11" spans="1:7">
      <c r="A11" s="45">
        <f t="shared" si="1"/>
        <v>6</v>
      </c>
      <c r="B11" s="46" t="s">
        <v>695</v>
      </c>
      <c r="C11" s="45">
        <v>5746</v>
      </c>
      <c r="D11" s="47">
        <f>243+213+179+235+203</f>
        <v>1073</v>
      </c>
      <c r="E11" s="47">
        <f>184+164+166+162+167</f>
        <v>843</v>
      </c>
      <c r="F11" s="47">
        <f>201+184+176+163+210</f>
        <v>934</v>
      </c>
      <c r="G11" s="47">
        <f t="shared" si="0"/>
        <v>8596</v>
      </c>
    </row>
    <row r="12" spans="1:7">
      <c r="A12" s="45">
        <f t="shared" si="1"/>
        <v>7</v>
      </c>
      <c r="B12" s="46" t="s">
        <v>479</v>
      </c>
      <c r="C12" s="45">
        <v>5585</v>
      </c>
      <c r="D12" s="47">
        <f>213+202+176+161+234</f>
        <v>986</v>
      </c>
      <c r="E12" s="47">
        <f>200+160+229+258+203</f>
        <v>1050</v>
      </c>
      <c r="F12" s="47">
        <f>192+171+209+190+184</f>
        <v>946</v>
      </c>
      <c r="G12" s="47">
        <f t="shared" si="0"/>
        <v>8567</v>
      </c>
    </row>
    <row r="13" spans="1:7">
      <c r="A13" s="45">
        <f t="shared" si="1"/>
        <v>8</v>
      </c>
      <c r="B13" s="46" t="s">
        <v>654</v>
      </c>
      <c r="C13" s="45">
        <v>5742</v>
      </c>
      <c r="D13" s="48">
        <f>217+188+172+180+178</f>
        <v>935</v>
      </c>
      <c r="E13" s="48">
        <f>178+185+156+131+208</f>
        <v>858</v>
      </c>
      <c r="F13" s="48">
        <f>177+209+198+163+171</f>
        <v>918</v>
      </c>
      <c r="G13" s="47">
        <f t="shared" si="0"/>
        <v>8453</v>
      </c>
    </row>
    <row r="14" spans="1:7">
      <c r="A14" s="45">
        <f t="shared" si="1"/>
        <v>9</v>
      </c>
      <c r="B14" s="46" t="s">
        <v>438</v>
      </c>
      <c r="C14" s="45">
        <v>5526</v>
      </c>
      <c r="D14" s="47">
        <f>212+151+202+200+223</f>
        <v>988</v>
      </c>
      <c r="E14" s="47">
        <f>197+189+193+173+160</f>
        <v>912</v>
      </c>
      <c r="F14" s="47">
        <f>212+185+156+224+244</f>
        <v>1021</v>
      </c>
      <c r="G14" s="47">
        <f t="shared" si="0"/>
        <v>8447</v>
      </c>
    </row>
    <row r="15" spans="1:7">
      <c r="A15" s="45">
        <f t="shared" si="1"/>
        <v>10</v>
      </c>
      <c r="B15" s="46" t="s">
        <v>205</v>
      </c>
      <c r="C15" s="45">
        <v>5689</v>
      </c>
      <c r="D15" s="47">
        <f>166+178+209+183+200</f>
        <v>936</v>
      </c>
      <c r="E15" s="47">
        <f>153+223+202+192+153</f>
        <v>923</v>
      </c>
      <c r="F15" s="47">
        <f>137+146+219+216+171</f>
        <v>889</v>
      </c>
      <c r="G15" s="47">
        <f t="shared" si="0"/>
        <v>8437</v>
      </c>
    </row>
    <row r="16" spans="1:7">
      <c r="A16" s="45">
        <f t="shared" si="1"/>
        <v>11</v>
      </c>
      <c r="B16" s="46" t="s">
        <v>575</v>
      </c>
      <c r="C16" s="45">
        <v>5656</v>
      </c>
      <c r="D16" s="47">
        <f>105+205+188+177+191</f>
        <v>866</v>
      </c>
      <c r="E16" s="47">
        <f>177+189+175+178+181</f>
        <v>900</v>
      </c>
      <c r="F16" s="47">
        <f>206+193+223+202+190</f>
        <v>1014</v>
      </c>
      <c r="G16" s="47">
        <f t="shared" si="0"/>
        <v>8436</v>
      </c>
    </row>
    <row r="17" spans="1:7">
      <c r="A17" s="45">
        <f t="shared" si="1"/>
        <v>12</v>
      </c>
      <c r="B17" s="46" t="s">
        <v>167</v>
      </c>
      <c r="C17" s="45">
        <v>5688</v>
      </c>
      <c r="D17" s="47">
        <f>150+173+168+191+214</f>
        <v>896</v>
      </c>
      <c r="E17" s="47">
        <f>216+215+171+223+172</f>
        <v>997</v>
      </c>
      <c r="F17" s="47">
        <f>159+172+189+178+135</f>
        <v>833</v>
      </c>
      <c r="G17" s="47">
        <f t="shared" si="0"/>
        <v>8414</v>
      </c>
    </row>
    <row r="18" spans="1:7">
      <c r="A18" s="45">
        <f t="shared" si="1"/>
        <v>13</v>
      </c>
      <c r="B18" s="46" t="s">
        <v>547</v>
      </c>
      <c r="C18" s="45">
        <v>5422</v>
      </c>
      <c r="D18" s="47">
        <f>197+150+209+159+195</f>
        <v>910</v>
      </c>
      <c r="E18" s="47">
        <f>186+179+221+252+257</f>
        <v>1095</v>
      </c>
      <c r="F18" s="47">
        <f>178+213+182+201+211</f>
        <v>985</v>
      </c>
      <c r="G18" s="47">
        <f t="shared" si="0"/>
        <v>8412</v>
      </c>
    </row>
    <row r="19" spans="1:7">
      <c r="A19" s="45">
        <f t="shared" si="1"/>
        <v>14</v>
      </c>
      <c r="B19" s="46" t="s">
        <v>763</v>
      </c>
      <c r="C19" s="45">
        <v>5478</v>
      </c>
      <c r="D19" s="47">
        <f>189+193+224+224+202</f>
        <v>1032</v>
      </c>
      <c r="E19" s="47">
        <f>171+172+236+166+181</f>
        <v>926</v>
      </c>
      <c r="F19" s="47">
        <f>208+202+162+203+185</f>
        <v>960</v>
      </c>
      <c r="G19" s="47">
        <f t="shared" si="0"/>
        <v>8396</v>
      </c>
    </row>
    <row r="20" spans="1:7">
      <c r="A20" s="45">
        <f t="shared" si="1"/>
        <v>15</v>
      </c>
      <c r="B20" s="46" t="s">
        <v>452</v>
      </c>
      <c r="C20" s="45">
        <v>5569</v>
      </c>
      <c r="D20" s="47">
        <f>169+227+156+219+182</f>
        <v>953</v>
      </c>
      <c r="E20" s="47">
        <f>180+211+177+166+204</f>
        <v>938</v>
      </c>
      <c r="F20" s="47">
        <f>169+179+173+167+202</f>
        <v>890</v>
      </c>
      <c r="G20" s="47">
        <f t="shared" si="0"/>
        <v>8350</v>
      </c>
    </row>
    <row r="21" spans="1:7">
      <c r="A21" s="45">
        <f t="shared" si="1"/>
        <v>16</v>
      </c>
      <c r="B21" s="46" t="s">
        <v>1306</v>
      </c>
      <c r="C21" s="45">
        <v>5705</v>
      </c>
      <c r="D21" s="47">
        <f>175+157+209+186+182</f>
        <v>909</v>
      </c>
      <c r="E21" s="47">
        <f>138+204+184+176+149</f>
        <v>851</v>
      </c>
      <c r="F21" s="47">
        <f>182+195+169+152+174</f>
        <v>872</v>
      </c>
      <c r="G21" s="47">
        <f t="shared" si="0"/>
        <v>8337</v>
      </c>
    </row>
    <row r="22" spans="1:7">
      <c r="A22" s="45">
        <f t="shared" si="1"/>
        <v>17</v>
      </c>
      <c r="B22" s="46" t="s">
        <v>304</v>
      </c>
      <c r="C22" s="45">
        <v>5488</v>
      </c>
      <c r="D22" s="47">
        <f>219+161+223+216+177</f>
        <v>996</v>
      </c>
      <c r="E22" s="47">
        <f>182+220+187+159+190</f>
        <v>938</v>
      </c>
      <c r="F22" s="47">
        <f>144+152+194+173+156</f>
        <v>819</v>
      </c>
      <c r="G22" s="47">
        <f t="shared" si="0"/>
        <v>8241</v>
      </c>
    </row>
    <row r="23" spans="1:7">
      <c r="A23" s="45">
        <f t="shared" si="1"/>
        <v>18</v>
      </c>
      <c r="B23" s="46" t="s">
        <v>643</v>
      </c>
      <c r="C23" s="45">
        <v>5464</v>
      </c>
      <c r="D23" s="47">
        <f>205+192+155+200+180</f>
        <v>932</v>
      </c>
      <c r="E23" s="47">
        <f>158+189+203+191+150</f>
        <v>891</v>
      </c>
      <c r="F23" s="47">
        <f>161+212+189+175+133</f>
        <v>870</v>
      </c>
      <c r="G23" s="47">
        <f t="shared" si="0"/>
        <v>8157</v>
      </c>
    </row>
    <row r="24" spans="1:7">
      <c r="A24" s="45">
        <f t="shared" si="1"/>
        <v>18</v>
      </c>
      <c r="B24" s="46" t="s">
        <v>331</v>
      </c>
      <c r="C24" s="45">
        <v>5534</v>
      </c>
      <c r="D24" s="47">
        <f>135+145+156+158+151</f>
        <v>745</v>
      </c>
      <c r="E24" s="47">
        <f>198+192+173+182+182</f>
        <v>927</v>
      </c>
      <c r="F24" s="47">
        <f>175+201+162+203+210</f>
        <v>951</v>
      </c>
      <c r="G24" s="47">
        <f t="shared" si="0"/>
        <v>8157</v>
      </c>
    </row>
    <row r="25" spans="1:7">
      <c r="A25" s="45">
        <f t="shared" si="1"/>
        <v>20</v>
      </c>
      <c r="B25" s="46" t="s">
        <v>856</v>
      </c>
      <c r="C25" s="45">
        <v>5538</v>
      </c>
      <c r="D25" s="47">
        <f>159+180+194+182+165</f>
        <v>880</v>
      </c>
      <c r="E25" s="47">
        <f>197+180+167+175+177</f>
        <v>896</v>
      </c>
      <c r="F25" s="47">
        <f>173+160+162+183+156</f>
        <v>834</v>
      </c>
      <c r="G25" s="47">
        <f t="shared" si="0"/>
        <v>8148</v>
      </c>
    </row>
    <row r="26" spans="1:7">
      <c r="A26" s="45">
        <f t="shared" si="1"/>
        <v>21</v>
      </c>
      <c r="B26" s="46" t="s">
        <v>295</v>
      </c>
      <c r="C26" s="45">
        <v>5290</v>
      </c>
      <c r="D26" s="47">
        <f>204+171+223+189+182</f>
        <v>969</v>
      </c>
      <c r="E26" s="47">
        <f>190+187+193+153+170</f>
        <v>893</v>
      </c>
      <c r="F26" s="47">
        <f>235+157+158+191+224</f>
        <v>965</v>
      </c>
      <c r="G26" s="47">
        <f t="shared" si="0"/>
        <v>8117</v>
      </c>
    </row>
    <row r="27" spans="1:7">
      <c r="A27" s="45">
        <f t="shared" si="1"/>
        <v>22</v>
      </c>
      <c r="B27" s="46" t="s">
        <v>127</v>
      </c>
      <c r="C27" s="45">
        <v>5370</v>
      </c>
      <c r="D27" s="47">
        <f>153+181+176+191+234</f>
        <v>935</v>
      </c>
      <c r="E27" s="47">
        <f>176+180+162+222+173</f>
        <v>913</v>
      </c>
      <c r="F27" s="47">
        <f>180+164+198+216+133</f>
        <v>891</v>
      </c>
      <c r="G27" s="47">
        <f t="shared" si="0"/>
        <v>8109</v>
      </c>
    </row>
    <row r="28" spans="1:7">
      <c r="A28" s="45">
        <f t="shared" si="1"/>
        <v>23</v>
      </c>
      <c r="B28" s="46" t="s">
        <v>626</v>
      </c>
      <c r="C28" s="45">
        <v>5527</v>
      </c>
      <c r="D28" s="47">
        <f>152+172+170+163+162</f>
        <v>819</v>
      </c>
      <c r="E28" s="47">
        <f>143+191+169+139+195</f>
        <v>837</v>
      </c>
      <c r="F28" s="47">
        <f>209+167+181+177+179</f>
        <v>913</v>
      </c>
      <c r="G28" s="47">
        <f t="shared" si="0"/>
        <v>8096</v>
      </c>
    </row>
    <row r="29" spans="1:7">
      <c r="A29" s="45">
        <f t="shared" si="1"/>
        <v>24</v>
      </c>
      <c r="B29" s="46" t="s">
        <v>713</v>
      </c>
      <c r="C29" s="45">
        <v>5422</v>
      </c>
      <c r="D29" s="47">
        <f>170+193+179+163+189</f>
        <v>894</v>
      </c>
      <c r="E29" s="47">
        <f>197+181+169+203+176</f>
        <v>926</v>
      </c>
      <c r="F29" s="47">
        <f>159+169+177+140+192</f>
        <v>837</v>
      </c>
      <c r="G29" s="47">
        <f t="shared" si="0"/>
        <v>8079</v>
      </c>
    </row>
    <row r="30" spans="1:7">
      <c r="A30" s="45">
        <f t="shared" si="1"/>
        <v>25</v>
      </c>
      <c r="B30" s="46" t="s">
        <v>1289</v>
      </c>
      <c r="C30" s="45">
        <v>5441</v>
      </c>
      <c r="D30" s="47">
        <f>183+154+142+189+154</f>
        <v>822</v>
      </c>
      <c r="E30" s="47">
        <f>148+209+172+220+176</f>
        <v>925</v>
      </c>
      <c r="F30" s="47">
        <f>135+201+181+156+192</f>
        <v>865</v>
      </c>
      <c r="G30" s="47">
        <f t="shared" si="0"/>
        <v>8053</v>
      </c>
    </row>
    <row r="31" spans="1:7">
      <c r="A31" s="45">
        <f t="shared" si="1"/>
        <v>26</v>
      </c>
      <c r="B31" s="46" t="s">
        <v>790</v>
      </c>
      <c r="C31" s="45">
        <v>5462</v>
      </c>
      <c r="D31" s="47">
        <f>199+125+211+145+199</f>
        <v>879</v>
      </c>
      <c r="E31" s="47">
        <f>133+195+168+156+191</f>
        <v>843</v>
      </c>
      <c r="F31" s="47">
        <f>165+197+150+165+164</f>
        <v>841</v>
      </c>
      <c r="G31" s="47">
        <f t="shared" si="0"/>
        <v>8025</v>
      </c>
    </row>
    <row r="32" spans="1:7">
      <c r="A32" s="45">
        <f t="shared" si="1"/>
        <v>27</v>
      </c>
      <c r="B32" s="46" t="s">
        <v>1024</v>
      </c>
      <c r="C32" s="45">
        <v>5403</v>
      </c>
      <c r="D32" s="47">
        <f>193+166+196+190+187</f>
        <v>932</v>
      </c>
      <c r="E32" s="47">
        <f>140+192+201+173+172</f>
        <v>878</v>
      </c>
      <c r="F32" s="47">
        <f>177+135+138+150+180</f>
        <v>780</v>
      </c>
      <c r="G32" s="47">
        <f t="shared" si="0"/>
        <v>7993</v>
      </c>
    </row>
    <row r="33" spans="1:7">
      <c r="A33" s="45">
        <f t="shared" si="1"/>
        <v>28</v>
      </c>
      <c r="B33" s="46" t="s">
        <v>154</v>
      </c>
      <c r="C33" s="45">
        <v>5366</v>
      </c>
      <c r="D33" s="47">
        <f>179+177+132+203+143</f>
        <v>834</v>
      </c>
      <c r="E33" s="47">
        <f>188+155+147+193+202</f>
        <v>885</v>
      </c>
      <c r="F33" s="47">
        <f>180+177+194+184+159</f>
        <v>894</v>
      </c>
      <c r="G33" s="47">
        <f t="shared" si="0"/>
        <v>7979</v>
      </c>
    </row>
    <row r="34" spans="1:7">
      <c r="A34" s="45">
        <f t="shared" si="1"/>
        <v>29</v>
      </c>
      <c r="B34" s="46" t="s">
        <v>1339</v>
      </c>
      <c r="C34" s="45">
        <v>5354</v>
      </c>
      <c r="D34" s="47">
        <f>192+153+151+138+146</f>
        <v>780</v>
      </c>
      <c r="E34" s="47">
        <f>167+185+177+158+211</f>
        <v>898</v>
      </c>
      <c r="F34" s="47">
        <f>170+183+182+193+215</f>
        <v>943</v>
      </c>
      <c r="G34" s="47">
        <f t="shared" si="0"/>
        <v>7975</v>
      </c>
    </row>
    <row r="35" spans="1:7">
      <c r="A35" s="45">
        <f t="shared" si="1"/>
        <v>30</v>
      </c>
      <c r="B35" s="46" t="s">
        <v>281</v>
      </c>
      <c r="C35" s="45">
        <v>5434</v>
      </c>
      <c r="D35" s="47">
        <f>148+164+156+125+160</f>
        <v>753</v>
      </c>
      <c r="E35" s="47">
        <f>170+163+193+175+199</f>
        <v>900</v>
      </c>
      <c r="F35" s="47">
        <f>194+174+146+180+187</f>
        <v>881</v>
      </c>
      <c r="G35" s="47">
        <f t="shared" si="0"/>
        <v>7968</v>
      </c>
    </row>
    <row r="36" spans="1:7">
      <c r="A36" s="45">
        <f t="shared" si="1"/>
        <v>31</v>
      </c>
      <c r="B36" s="46" t="s">
        <v>750</v>
      </c>
      <c r="C36" s="45">
        <v>5382</v>
      </c>
      <c r="D36" s="47">
        <f>115+149+163+173+192</f>
        <v>792</v>
      </c>
      <c r="E36" s="47">
        <f>192+152+195+142+163</f>
        <v>844</v>
      </c>
      <c r="F36" s="47">
        <f>222+192+165+159+157</f>
        <v>895</v>
      </c>
      <c r="G36" s="47">
        <f t="shared" si="0"/>
        <v>7913</v>
      </c>
    </row>
    <row r="37" spans="1:7">
      <c r="A37" s="45">
        <f t="shared" si="1"/>
        <v>32</v>
      </c>
      <c r="B37" s="46" t="s">
        <v>1413</v>
      </c>
      <c r="C37" s="45">
        <v>5369</v>
      </c>
      <c r="D37" s="47">
        <f>162+185+179+140+172</f>
        <v>838</v>
      </c>
      <c r="E37" s="47">
        <f>138+148+142+236+139</f>
        <v>803</v>
      </c>
      <c r="F37" s="47">
        <f>142+148+258+166+180</f>
        <v>894</v>
      </c>
      <c r="G37" s="47">
        <f t="shared" si="0"/>
        <v>7904</v>
      </c>
    </row>
    <row r="38" spans="1:7">
      <c r="A38" s="45">
        <f t="shared" si="1"/>
        <v>33</v>
      </c>
      <c r="B38" s="46" t="s">
        <v>514</v>
      </c>
      <c r="C38" s="45">
        <v>5222</v>
      </c>
      <c r="D38" s="47">
        <f>175+169+200+204+179</f>
        <v>927</v>
      </c>
      <c r="E38" s="47">
        <f>184+201+142+175+203</f>
        <v>905</v>
      </c>
      <c r="F38" s="47">
        <f>157+149+246+138+142</f>
        <v>832</v>
      </c>
      <c r="G38" s="47">
        <f t="shared" si="0"/>
        <v>7886</v>
      </c>
    </row>
    <row r="39" spans="1:7">
      <c r="A39" s="45">
        <f t="shared" si="1"/>
        <v>34</v>
      </c>
      <c r="B39" s="46" t="s">
        <v>617</v>
      </c>
      <c r="C39" s="45">
        <v>5217</v>
      </c>
      <c r="D39" s="47">
        <f>131+215+166+175+204</f>
        <v>891</v>
      </c>
      <c r="E39" s="47">
        <f>187+149+185+184+177</f>
        <v>882</v>
      </c>
      <c r="F39" s="47">
        <f>202+151+180+168+175</f>
        <v>876</v>
      </c>
      <c r="G39" s="47">
        <f t="shared" si="0"/>
        <v>7866</v>
      </c>
    </row>
    <row r="40" spans="1:7">
      <c r="A40" s="45">
        <f t="shared" si="1"/>
        <v>35</v>
      </c>
      <c r="B40" s="46" t="s">
        <v>1228</v>
      </c>
      <c r="C40" s="45">
        <v>5236</v>
      </c>
      <c r="D40" s="47">
        <f>155+168+167+153+170</f>
        <v>813</v>
      </c>
      <c r="E40" s="47">
        <f>141+214+164+158+166</f>
        <v>843</v>
      </c>
      <c r="F40" s="47">
        <f>222+175+184+172+184</f>
        <v>937</v>
      </c>
      <c r="G40" s="47">
        <f t="shared" si="0"/>
        <v>7829</v>
      </c>
    </row>
    <row r="41" spans="1:7">
      <c r="A41" s="45">
        <f t="shared" si="1"/>
        <v>36</v>
      </c>
      <c r="B41" s="46" t="s">
        <v>720</v>
      </c>
      <c r="C41" s="45">
        <v>4995</v>
      </c>
      <c r="D41" s="47">
        <f>164+159+183+178+183</f>
        <v>867</v>
      </c>
      <c r="E41" s="47">
        <f>159+251+231+170+146</f>
        <v>957</v>
      </c>
      <c r="F41" s="47">
        <f>211+191+145+158+184</f>
        <v>889</v>
      </c>
      <c r="G41" s="47">
        <f t="shared" si="0"/>
        <v>7708</v>
      </c>
    </row>
    <row r="42" spans="1:7">
      <c r="A42" s="45">
        <f t="shared" si="1"/>
        <v>37</v>
      </c>
      <c r="B42" s="46" t="s">
        <v>781</v>
      </c>
      <c r="C42" s="45">
        <v>5276</v>
      </c>
      <c r="D42" s="47">
        <f>146+125+184+157+184</f>
        <v>796</v>
      </c>
      <c r="E42" s="47">
        <f>166+150+143+137+151</f>
        <v>747</v>
      </c>
      <c r="F42" s="47">
        <f>153+211+182+173+144</f>
        <v>863</v>
      </c>
      <c r="G42" s="47">
        <f t="shared" si="0"/>
        <v>7682</v>
      </c>
    </row>
    <row r="43" spans="1:7">
      <c r="A43" s="45">
        <f t="shared" si="1"/>
        <v>38</v>
      </c>
      <c r="B43" s="46" t="s">
        <v>413</v>
      </c>
      <c r="C43" s="45">
        <v>5248</v>
      </c>
      <c r="D43" s="47">
        <f>158+175+180+187+156</f>
        <v>856</v>
      </c>
      <c r="E43" s="47">
        <f>156+143+135+148+153</f>
        <v>735</v>
      </c>
      <c r="F43" s="47">
        <f>142+191+151+185+166</f>
        <v>835</v>
      </c>
      <c r="G43" s="47">
        <f t="shared" si="0"/>
        <v>7674</v>
      </c>
    </row>
    <row r="44" spans="1:7">
      <c r="A44" s="45">
        <f t="shared" si="1"/>
        <v>39</v>
      </c>
      <c r="B44" s="46" t="s">
        <v>98</v>
      </c>
      <c r="C44" s="45">
        <v>5094</v>
      </c>
      <c r="D44" s="47">
        <f>200+179+148+160+176</f>
        <v>863</v>
      </c>
      <c r="E44" s="47">
        <f>135+191+165+178+142</f>
        <v>811</v>
      </c>
      <c r="F44" s="47">
        <f>153+161+194+213+171</f>
        <v>892</v>
      </c>
      <c r="G44" s="47">
        <f t="shared" si="0"/>
        <v>7660</v>
      </c>
    </row>
    <row r="45" spans="1:7">
      <c r="A45" s="45">
        <f t="shared" si="1"/>
        <v>40</v>
      </c>
      <c r="B45" s="46" t="s">
        <v>231</v>
      </c>
      <c r="C45" s="45">
        <v>5171</v>
      </c>
      <c r="D45" s="47">
        <f>212+169+182+172+143</f>
        <v>878</v>
      </c>
      <c r="E45" s="47">
        <f>139+201+160+135+149</f>
        <v>784</v>
      </c>
      <c r="F45" s="47">
        <f>172+125+159+172+181</f>
        <v>809</v>
      </c>
      <c r="G45" s="47">
        <f t="shared" si="0"/>
        <v>7642</v>
      </c>
    </row>
    <row r="46" spans="1:7">
      <c r="A46" s="45">
        <f t="shared" si="1"/>
        <v>41</v>
      </c>
      <c r="B46" s="46" t="s">
        <v>799</v>
      </c>
      <c r="C46" s="45">
        <v>5203</v>
      </c>
      <c r="D46" s="47">
        <f>144+188+177+145+140</f>
        <v>794</v>
      </c>
      <c r="E46" s="47">
        <f>170+136+127+129+178</f>
        <v>740</v>
      </c>
      <c r="F46" s="47">
        <f>166+211+169+148+196</f>
        <v>890</v>
      </c>
      <c r="G46" s="47">
        <f t="shared" si="0"/>
        <v>7627</v>
      </c>
    </row>
    <row r="47" spans="1:7">
      <c r="A47" s="45">
        <f t="shared" si="1"/>
        <v>42</v>
      </c>
      <c r="B47" s="46" t="s">
        <v>1199</v>
      </c>
      <c r="C47" s="45">
        <v>5179</v>
      </c>
      <c r="D47" s="47">
        <f>192+175+197+161+156</f>
        <v>881</v>
      </c>
      <c r="E47" s="47">
        <f>134+176+132+155+167</f>
        <v>764</v>
      </c>
      <c r="F47" s="47">
        <f>166+145+158+191+120</f>
        <v>780</v>
      </c>
      <c r="G47" s="47">
        <f t="shared" si="0"/>
        <v>7604</v>
      </c>
    </row>
    <row r="48" spans="1:7">
      <c r="A48" s="45">
        <f t="shared" si="1"/>
        <v>43</v>
      </c>
      <c r="B48" s="46" t="s">
        <v>363</v>
      </c>
      <c r="C48" s="45">
        <v>4997</v>
      </c>
      <c r="D48" s="47">
        <f>175+147+143+162+151</f>
        <v>778</v>
      </c>
      <c r="E48" s="47">
        <f>138+153+165+190+211</f>
        <v>857</v>
      </c>
      <c r="F48" s="47">
        <f>176+215+181+159+210</f>
        <v>941</v>
      </c>
      <c r="G48" s="47">
        <f t="shared" si="0"/>
        <v>7573</v>
      </c>
    </row>
    <row r="49" spans="1:7">
      <c r="A49" s="45">
        <f t="shared" si="1"/>
        <v>44</v>
      </c>
      <c r="B49" s="46" t="s">
        <v>113</v>
      </c>
      <c r="C49" s="45">
        <v>5074</v>
      </c>
      <c r="D49" s="47">
        <f>156+192+178+151+156</f>
        <v>833</v>
      </c>
      <c r="E49" s="47">
        <f>113+182+168+171+115</f>
        <v>749</v>
      </c>
      <c r="F49" s="47">
        <f>204+173+159+213+141</f>
        <v>890</v>
      </c>
      <c r="G49" s="47">
        <f t="shared" si="0"/>
        <v>7546</v>
      </c>
    </row>
    <row r="50" spans="1:7">
      <c r="A50" s="45">
        <f t="shared" si="1"/>
        <v>45</v>
      </c>
      <c r="B50" s="46" t="s">
        <v>490</v>
      </c>
      <c r="C50" s="45">
        <v>5040</v>
      </c>
      <c r="D50" s="47">
        <f>153+162+146+154+154</f>
        <v>769</v>
      </c>
      <c r="E50" s="47">
        <f>167+213+154+196+182</f>
        <v>912</v>
      </c>
      <c r="F50" s="47">
        <f>165+160+139+166+179</f>
        <v>809</v>
      </c>
      <c r="G50" s="47">
        <f t="shared" si="0"/>
        <v>7530</v>
      </c>
    </row>
    <row r="51" spans="1:7">
      <c r="A51" s="45">
        <f t="shared" si="1"/>
        <v>46</v>
      </c>
      <c r="B51" s="46" t="s">
        <v>665</v>
      </c>
      <c r="C51" s="45">
        <v>5032</v>
      </c>
      <c r="D51" s="47">
        <f>150+166+152+160+186</f>
        <v>814</v>
      </c>
      <c r="E51" s="47">
        <f>168+136+159+157+146</f>
        <v>766</v>
      </c>
      <c r="F51" s="47">
        <f>177+164+159+136+179</f>
        <v>815</v>
      </c>
      <c r="G51" s="47">
        <f t="shared" si="0"/>
        <v>7427</v>
      </c>
    </row>
    <row r="52" spans="1:7">
      <c r="A52" s="45">
        <f t="shared" si="1"/>
        <v>47</v>
      </c>
      <c r="B52" s="46" t="s">
        <v>180</v>
      </c>
      <c r="C52" s="45">
        <v>5068</v>
      </c>
      <c r="D52" s="47">
        <f>157+154+124+142+182</f>
        <v>759</v>
      </c>
      <c r="E52" s="47">
        <f>136+137+143+159+152</f>
        <v>727</v>
      </c>
      <c r="F52" s="47">
        <f>148+189+172+189+158</f>
        <v>856</v>
      </c>
      <c r="G52" s="47">
        <f t="shared" si="0"/>
        <v>7410</v>
      </c>
    </row>
    <row r="53" spans="1:7">
      <c r="A53" s="45">
        <f t="shared" si="1"/>
        <v>48</v>
      </c>
      <c r="B53" s="46" t="s">
        <v>942</v>
      </c>
      <c r="C53" s="45">
        <v>4954</v>
      </c>
      <c r="D53" s="47">
        <f>123+149+137+140+149</f>
        <v>698</v>
      </c>
      <c r="E53" s="47">
        <f>172+223+198+181+161</f>
        <v>935</v>
      </c>
      <c r="F53" s="47">
        <f>169+133+164+171+177</f>
        <v>814</v>
      </c>
      <c r="G53" s="47">
        <f t="shared" si="0"/>
        <v>7401</v>
      </c>
    </row>
    <row r="54" spans="1:7">
      <c r="A54" s="45">
        <f t="shared" si="1"/>
        <v>49</v>
      </c>
      <c r="B54" s="46" t="s">
        <v>1359</v>
      </c>
      <c r="C54" s="45">
        <v>5049</v>
      </c>
      <c r="D54" s="47">
        <f>134+135+137+170+175</f>
        <v>751</v>
      </c>
      <c r="E54" s="47">
        <f>178+167+115+188+170</f>
        <v>818</v>
      </c>
      <c r="F54" s="47">
        <f>197+157+136+159+132</f>
        <v>781</v>
      </c>
      <c r="G54" s="47">
        <f t="shared" si="0"/>
        <v>7399</v>
      </c>
    </row>
    <row r="55" spans="1:7">
      <c r="A55" s="45">
        <f t="shared" si="1"/>
        <v>50</v>
      </c>
      <c r="B55" s="46" t="s">
        <v>703</v>
      </c>
      <c r="C55" s="45">
        <v>5131</v>
      </c>
      <c r="D55" s="47">
        <f>134+149+159+189+104</f>
        <v>735</v>
      </c>
      <c r="E55" s="47">
        <f>141+173+169+142+138</f>
        <v>763</v>
      </c>
      <c r="F55" s="47">
        <f>144+154+140+141+161</f>
        <v>740</v>
      </c>
      <c r="G55" s="47">
        <f t="shared" si="0"/>
        <v>7369</v>
      </c>
    </row>
    <row r="56" spans="1:7">
      <c r="A56" s="45">
        <f t="shared" si="1"/>
        <v>51</v>
      </c>
      <c r="B56" s="46" t="s">
        <v>536</v>
      </c>
      <c r="C56" s="45">
        <v>4831</v>
      </c>
      <c r="D56" s="47">
        <f>212+178+132+158+141</f>
        <v>821</v>
      </c>
      <c r="E56" s="47">
        <f>158+158+199+172+181</f>
        <v>868</v>
      </c>
      <c r="F56" s="47">
        <f>150+157+161+147+157</f>
        <v>772</v>
      </c>
      <c r="G56" s="47">
        <f t="shared" si="0"/>
        <v>7292</v>
      </c>
    </row>
    <row r="57" spans="1:7">
      <c r="A57" s="45">
        <f t="shared" si="1"/>
        <v>52</v>
      </c>
      <c r="B57" s="46" t="s">
        <v>425</v>
      </c>
      <c r="C57" s="45">
        <v>4772</v>
      </c>
      <c r="D57" s="47">
        <f>182+176+167+156+159</f>
        <v>840</v>
      </c>
      <c r="E57" s="47">
        <f>146+194+154+156+163</f>
        <v>813</v>
      </c>
      <c r="F57" s="47">
        <f>181+151+145+167+148</f>
        <v>792</v>
      </c>
      <c r="G57" s="47">
        <f t="shared" si="0"/>
        <v>7217</v>
      </c>
    </row>
    <row r="58" spans="1:7">
      <c r="A58" s="45">
        <f t="shared" si="1"/>
        <v>53</v>
      </c>
      <c r="B58" s="46" t="s">
        <v>1518</v>
      </c>
      <c r="C58" s="45">
        <v>4832</v>
      </c>
      <c r="D58" s="47">
        <f>164+134+125+175+143</f>
        <v>741</v>
      </c>
      <c r="E58" s="47">
        <f>168+154+172+177+154</f>
        <v>825</v>
      </c>
      <c r="F58" s="47">
        <f>130+151+148+172+174</f>
        <v>775</v>
      </c>
      <c r="G58" s="47">
        <f t="shared" si="0"/>
        <v>7173</v>
      </c>
    </row>
    <row r="59" spans="1:7">
      <c r="A59" s="45">
        <f t="shared" si="1"/>
        <v>54</v>
      </c>
      <c r="B59" s="46" t="s">
        <v>932</v>
      </c>
      <c r="C59" s="45">
        <v>4717</v>
      </c>
      <c r="D59" s="47">
        <f>113+168+147+191+150</f>
        <v>769</v>
      </c>
      <c r="E59" s="47">
        <f>161+197+163+153+160</f>
        <v>834</v>
      </c>
      <c r="F59" s="47">
        <f>155+128+210+163+168</f>
        <v>824</v>
      </c>
      <c r="G59" s="47">
        <f t="shared" si="0"/>
        <v>7144</v>
      </c>
    </row>
    <row r="60" spans="1:7">
      <c r="A60" s="45">
        <f t="shared" si="1"/>
        <v>55</v>
      </c>
      <c r="B60" s="46" t="s">
        <v>751</v>
      </c>
      <c r="C60" s="45">
        <v>4701</v>
      </c>
      <c r="D60" s="47">
        <f>122+169+186+139+171</f>
        <v>787</v>
      </c>
      <c r="E60" s="47">
        <f>221+157+138+145+146</f>
        <v>807</v>
      </c>
      <c r="F60" s="47">
        <f>151+167+158+174+135</f>
        <v>785</v>
      </c>
      <c r="G60" s="47">
        <f t="shared" si="0"/>
        <v>7080</v>
      </c>
    </row>
    <row r="61" spans="1:7">
      <c r="A61" s="45">
        <f t="shared" si="1"/>
        <v>56</v>
      </c>
      <c r="B61" s="46" t="s">
        <v>44</v>
      </c>
      <c r="C61" s="45">
        <v>4736</v>
      </c>
      <c r="D61" s="47">
        <f>174+163+164+170+122</f>
        <v>793</v>
      </c>
      <c r="E61" s="47">
        <f>145+146+134+194+140</f>
        <v>759</v>
      </c>
      <c r="F61" s="47">
        <f>129+136+185+173+162</f>
        <v>785</v>
      </c>
      <c r="G61" s="47">
        <f t="shared" si="0"/>
        <v>7073</v>
      </c>
    </row>
    <row r="62" spans="1:7">
      <c r="A62" s="45">
        <f t="shared" si="1"/>
        <v>57</v>
      </c>
      <c r="B62" s="46" t="s">
        <v>27</v>
      </c>
      <c r="C62" s="45">
        <v>4682</v>
      </c>
      <c r="D62" s="47">
        <f>138+135+164+122+158</f>
        <v>717</v>
      </c>
      <c r="E62" s="47">
        <f>161+167+160+146+134</f>
        <v>768</v>
      </c>
      <c r="F62" s="47">
        <f>123+152+124+125+150</f>
        <v>674</v>
      </c>
      <c r="G62" s="47">
        <f t="shared" si="0"/>
        <v>6841</v>
      </c>
    </row>
    <row r="63" spans="1:7">
      <c r="A63" s="45">
        <f t="shared" si="1"/>
        <v>58</v>
      </c>
      <c r="B63" s="46" t="s">
        <v>84</v>
      </c>
      <c r="C63" s="45">
        <v>4484</v>
      </c>
      <c r="D63" s="47">
        <f>130+169+152+97+148</f>
        <v>696</v>
      </c>
      <c r="E63" s="47">
        <f>115+155+127+181+160</f>
        <v>738</v>
      </c>
      <c r="F63" s="47">
        <f>140+157+187+130+127</f>
        <v>741</v>
      </c>
      <c r="G63" s="47">
        <f t="shared" si="0"/>
        <v>6659</v>
      </c>
    </row>
    <row r="64" spans="1:7">
      <c r="A64" s="45">
        <f t="shared" si="1"/>
        <v>59</v>
      </c>
      <c r="B64" s="46" t="s">
        <v>318</v>
      </c>
      <c r="C64" s="45">
        <v>4447</v>
      </c>
      <c r="D64" s="47">
        <f>150+115+134+123+156</f>
        <v>678</v>
      </c>
      <c r="E64" s="47">
        <f>122+136+136+164+193</f>
        <v>751</v>
      </c>
      <c r="F64" s="47">
        <f>163+133+136+145+199</f>
        <v>776</v>
      </c>
      <c r="G64" s="47">
        <f t="shared" si="0"/>
        <v>6652</v>
      </c>
    </row>
    <row r="65" spans="1:7">
      <c r="A65" s="45">
        <f t="shared" si="1"/>
        <v>60</v>
      </c>
      <c r="B65" s="46" t="s">
        <v>262</v>
      </c>
      <c r="C65" s="45">
        <v>4255</v>
      </c>
      <c r="D65" s="47">
        <f>117+143+164+144+156</f>
        <v>724</v>
      </c>
      <c r="E65" s="47">
        <f>113+159+124+102+146</f>
        <v>644</v>
      </c>
      <c r="F65" s="47">
        <f>119+142+152+108+118</f>
        <v>639</v>
      </c>
      <c r="G65" s="47">
        <f t="shared" si="0"/>
        <v>6262</v>
      </c>
    </row>
    <row r="66" spans="1:7">
      <c r="A66" s="45">
        <f t="shared" si="1"/>
        <v>61</v>
      </c>
      <c r="B66" s="46" t="s">
        <v>1098</v>
      </c>
      <c r="C66" s="45">
        <v>4134</v>
      </c>
      <c r="D66" s="47">
        <f>147+119+105+135+163</f>
        <v>669</v>
      </c>
      <c r="E66" s="47">
        <f>137+109+123+157+111</f>
        <v>637</v>
      </c>
      <c r="F66" s="47">
        <f>124+114+143+130+124</f>
        <v>635</v>
      </c>
      <c r="G66" s="47">
        <f t="shared" si="0"/>
        <v>6075</v>
      </c>
    </row>
    <row r="67" spans="1:7">
      <c r="A67" s="45">
        <f t="shared" si="1"/>
        <v>62</v>
      </c>
      <c r="B67" s="46" t="s">
        <v>636</v>
      </c>
      <c r="C67" s="45">
        <v>4049</v>
      </c>
      <c r="D67" s="47">
        <f>125+120+118+157+99</f>
        <v>619</v>
      </c>
      <c r="E67" s="47">
        <f>110+127+120+124+126</f>
        <v>607</v>
      </c>
      <c r="F67" s="47">
        <f>117+98+114+122+100</f>
        <v>551</v>
      </c>
      <c r="G67" s="47">
        <f t="shared" si="0"/>
        <v>5826</v>
      </c>
    </row>
    <row r="68" spans="1:7">
      <c r="A68" s="45">
        <f t="shared" si="1"/>
        <v>63</v>
      </c>
      <c r="B68" s="46" t="s">
        <v>807</v>
      </c>
      <c r="C68" s="45">
        <v>3783</v>
      </c>
      <c r="D68" s="47">
        <f>119+163+132+113+122</f>
        <v>649</v>
      </c>
      <c r="E68" s="47">
        <f>115+123+114+144+95</f>
        <v>591</v>
      </c>
      <c r="F68" s="47">
        <f>126+115+134+97+133</f>
        <v>605</v>
      </c>
      <c r="G68" s="47">
        <f t="shared" si="0"/>
        <v>5628</v>
      </c>
    </row>
    <row r="69" spans="1:7">
      <c r="A69" s="45">
        <f t="shared" si="1"/>
        <v>64</v>
      </c>
      <c r="B69" s="46" t="s">
        <v>1534</v>
      </c>
      <c r="C69" s="45">
        <v>3811</v>
      </c>
      <c r="D69" s="47">
        <f>96+114+123+110+132</f>
        <v>575</v>
      </c>
      <c r="E69" s="47">
        <f>115+113+113+111+112</f>
        <v>564</v>
      </c>
      <c r="F69" s="47">
        <f>130+135+111+135+106</f>
        <v>617</v>
      </c>
      <c r="G69" s="47">
        <f t="shared" si="0"/>
        <v>5567</v>
      </c>
    </row>
    <row r="70" spans="1:7">
      <c r="A70" s="45">
        <f t="shared" si="1"/>
        <v>65</v>
      </c>
      <c r="B70" s="46" t="s">
        <v>772</v>
      </c>
      <c r="C70" s="45">
        <v>5144</v>
      </c>
      <c r="D70" s="47">
        <v>0</v>
      </c>
      <c r="E70" s="47">
        <v>0</v>
      </c>
      <c r="F70" s="47">
        <v>0</v>
      </c>
      <c r="G70" s="47">
        <f t="shared" ref="G70:G71" si="2">SUM(C70+D70+E70+F70)</f>
        <v>5144</v>
      </c>
    </row>
    <row r="71" spans="1:7">
      <c r="A71" s="45">
        <f t="shared" ref="A71" si="3">RANK(G71,$G$6:$G$80)</f>
        <v>66</v>
      </c>
      <c r="B71" s="46" t="s">
        <v>1315</v>
      </c>
      <c r="C71" s="45">
        <v>2854</v>
      </c>
      <c r="D71" s="47">
        <f>79+99+98+106+70</f>
        <v>452</v>
      </c>
      <c r="E71" s="47">
        <f>74+102+99+82+95</f>
        <v>452</v>
      </c>
      <c r="F71" s="47">
        <f>77+93+105+82+99</f>
        <v>456</v>
      </c>
      <c r="G71" s="47">
        <f t="shared" si="2"/>
        <v>4214</v>
      </c>
    </row>
  </sheetData>
  <mergeCells count="2">
    <mergeCell ref="A1:G1"/>
    <mergeCell ref="A2:G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Button 1">
              <controlPr defaultSize="0" print="0" autoFill="0" autoPict="0">
                <anchor moveWithCells="1" sizeWithCells="1">
                  <from>
                    <xdr:col>7</xdr:col>
                    <xdr:colOff>104775</xdr:colOff>
                    <xdr:row>4</xdr:row>
                    <xdr:rowOff>238125</xdr:rowOff>
                  </from>
                  <to>
                    <xdr:col>8</xdr:col>
                    <xdr:colOff>104775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H17" sqref="H17"/>
    </sheetView>
  </sheetViews>
  <sheetFormatPr defaultRowHeight="20.100000000000001" customHeight="1"/>
  <cols>
    <col min="1" max="1" width="3.7109375" customWidth="1"/>
    <col min="2" max="2" width="41" style="74" bestFit="1" customWidth="1"/>
    <col min="3" max="3" width="3.7109375" style="61" customWidth="1"/>
    <col min="4" max="4" width="31.42578125" style="57" bestFit="1" customWidth="1"/>
    <col min="5" max="5" width="3.7109375" customWidth="1"/>
    <col min="6" max="6" width="43.28515625" bestFit="1" customWidth="1"/>
    <col min="7" max="7" width="8.42578125" customWidth="1"/>
    <col min="9" max="9" width="18.140625" customWidth="1"/>
  </cols>
  <sheetData>
    <row r="1" spans="1:12" ht="15">
      <c r="A1" s="81" t="s">
        <v>1566</v>
      </c>
      <c r="B1" s="81"/>
      <c r="C1" s="81"/>
      <c r="D1" s="81"/>
      <c r="E1" s="81"/>
      <c r="F1" s="81"/>
      <c r="G1" s="50"/>
    </row>
    <row r="2" spans="1:12" ht="15">
      <c r="A2" s="81"/>
      <c r="B2" s="81"/>
      <c r="C2" s="81"/>
      <c r="D2" s="81"/>
      <c r="E2" s="81"/>
      <c r="F2" s="81"/>
      <c r="G2" s="50"/>
    </row>
    <row r="3" spans="1:12" ht="15.75" thickBot="1">
      <c r="A3" s="51" t="s">
        <v>1567</v>
      </c>
      <c r="B3" s="52" t="s">
        <v>1568</v>
      </c>
      <c r="C3" s="53" t="s">
        <v>1567</v>
      </c>
      <c r="D3" s="52" t="s">
        <v>1569</v>
      </c>
      <c r="E3" s="51" t="s">
        <v>1567</v>
      </c>
      <c r="F3" s="52" t="s">
        <v>1570</v>
      </c>
    </row>
    <row r="4" spans="1:12" ht="16.5" thickBot="1">
      <c r="A4" s="54">
        <v>73</v>
      </c>
      <c r="B4" s="55" t="s">
        <v>1585</v>
      </c>
      <c r="C4" s="56"/>
      <c r="E4" s="54"/>
      <c r="F4" s="58"/>
    </row>
    <row r="5" spans="1:12" ht="16.5" thickBot="1">
      <c r="A5" s="54"/>
      <c r="B5" s="59"/>
      <c r="C5" s="56">
        <v>75</v>
      </c>
      <c r="D5" s="55" t="s">
        <v>827</v>
      </c>
      <c r="E5" s="54"/>
    </row>
    <row r="6" spans="1:12" ht="16.5" thickBot="1">
      <c r="A6" s="54">
        <v>74</v>
      </c>
      <c r="B6" s="55" t="s">
        <v>1586</v>
      </c>
      <c r="C6" s="56"/>
      <c r="D6" s="60"/>
      <c r="E6" s="56"/>
      <c r="F6" s="61"/>
    </row>
    <row r="7" spans="1:12" ht="18" customHeight="1" thickBot="1">
      <c r="A7" s="54"/>
      <c r="B7" s="62"/>
      <c r="C7" s="56"/>
      <c r="D7" s="63"/>
      <c r="E7" s="56">
        <v>73</v>
      </c>
      <c r="F7" s="55" t="s">
        <v>1593</v>
      </c>
      <c r="L7" s="64"/>
    </row>
    <row r="8" spans="1:12" ht="16.5" thickBot="1">
      <c r="A8" s="54">
        <v>71</v>
      </c>
      <c r="B8" s="55" t="s">
        <v>1587</v>
      </c>
      <c r="C8" s="56"/>
      <c r="D8" s="65"/>
      <c r="E8" s="56"/>
      <c r="F8" s="60"/>
    </row>
    <row r="9" spans="1:12" ht="16.5" thickBot="1">
      <c r="A9" s="54"/>
      <c r="B9" s="59"/>
      <c r="C9" s="56">
        <v>76</v>
      </c>
      <c r="D9" s="55" t="s">
        <v>763</v>
      </c>
      <c r="E9" s="56"/>
      <c r="F9" s="61"/>
    </row>
    <row r="10" spans="1:12" ht="16.5" thickBot="1">
      <c r="A10" s="54">
        <v>72</v>
      </c>
      <c r="B10" s="55" t="s">
        <v>1588</v>
      </c>
      <c r="C10" s="56"/>
      <c r="D10" s="66"/>
      <c r="E10" s="56"/>
      <c r="G10" s="67" t="s">
        <v>1571</v>
      </c>
    </row>
    <row r="11" spans="1:12" ht="21" thickBot="1">
      <c r="A11" s="54"/>
      <c r="B11" s="62"/>
      <c r="C11" s="56"/>
      <c r="D11" s="65"/>
      <c r="E11" s="56"/>
      <c r="G11" s="68" t="s">
        <v>763</v>
      </c>
      <c r="H11" s="69"/>
      <c r="I11" s="70"/>
    </row>
    <row r="12" spans="1:12" ht="16.5" thickBot="1">
      <c r="A12" s="54">
        <v>77</v>
      </c>
      <c r="B12" s="55" t="s">
        <v>1583</v>
      </c>
      <c r="C12" s="56"/>
      <c r="D12" s="65"/>
      <c r="E12" s="56"/>
      <c r="F12" s="71"/>
      <c r="G12" s="58"/>
    </row>
    <row r="13" spans="1:12" ht="16.5" thickBot="1">
      <c r="A13" s="54"/>
      <c r="B13" s="59"/>
      <c r="C13" s="56">
        <v>71</v>
      </c>
      <c r="D13" s="55" t="s">
        <v>1592</v>
      </c>
      <c r="E13" s="56"/>
      <c r="F13" s="71"/>
      <c r="H13" s="66"/>
      <c r="I13" s="72"/>
      <c r="J13" s="72"/>
    </row>
    <row r="14" spans="1:12" ht="16.5" thickBot="1">
      <c r="A14" s="54">
        <v>78</v>
      </c>
      <c r="B14" s="55" t="s">
        <v>1584</v>
      </c>
      <c r="C14" s="56"/>
      <c r="D14" s="66"/>
      <c r="E14" s="56"/>
      <c r="F14" s="71"/>
      <c r="H14" s="66"/>
      <c r="I14" s="72"/>
      <c r="J14" s="72"/>
    </row>
    <row r="15" spans="1:12" ht="16.5" thickBot="1">
      <c r="A15" s="54"/>
      <c r="B15" s="62"/>
      <c r="C15" s="56"/>
      <c r="D15" s="63"/>
      <c r="E15" s="56">
        <v>74</v>
      </c>
      <c r="F15" s="55" t="s">
        <v>1594</v>
      </c>
      <c r="H15" s="72"/>
      <c r="I15" s="72"/>
      <c r="J15" s="72"/>
    </row>
    <row r="16" spans="1:12" ht="16.5" thickBot="1">
      <c r="A16" s="54">
        <v>75</v>
      </c>
      <c r="B16" s="55" t="s">
        <v>1589</v>
      </c>
      <c r="C16" s="56"/>
      <c r="D16" s="58"/>
      <c r="E16" s="54"/>
      <c r="F16" s="73"/>
    </row>
    <row r="17" spans="1:6" ht="16.5" thickBot="1">
      <c r="A17" s="54"/>
      <c r="B17" s="59"/>
      <c r="C17" s="56">
        <v>72</v>
      </c>
      <c r="D17" s="55" t="s">
        <v>1591</v>
      </c>
      <c r="E17" s="54"/>
      <c r="F17" s="57"/>
    </row>
    <row r="18" spans="1:6" ht="16.5" thickBot="1">
      <c r="A18" s="54">
        <v>76</v>
      </c>
      <c r="B18" s="55" t="s">
        <v>1590</v>
      </c>
      <c r="C18" s="56"/>
      <c r="D18" s="73"/>
      <c r="E18" s="54"/>
    </row>
    <row r="19" spans="1:6" ht="15">
      <c r="A19" s="54"/>
      <c r="B19" s="62"/>
      <c r="C19" s="56"/>
      <c r="E19" s="54"/>
    </row>
    <row r="20" spans="1:6" ht="15.75">
      <c r="A20" s="54"/>
      <c r="C20" s="56"/>
      <c r="E20" s="54"/>
    </row>
    <row r="21" spans="1:6" ht="15.75">
      <c r="A21" s="54"/>
      <c r="C21" s="56"/>
      <c r="E21" s="54"/>
    </row>
    <row r="22" spans="1:6" ht="15.75">
      <c r="A22" s="54"/>
      <c r="C22" s="56"/>
      <c r="E22" s="54"/>
    </row>
    <row r="23" spans="1:6" ht="15.75">
      <c r="A23" s="54"/>
      <c r="C23" s="56"/>
      <c r="E23" s="54"/>
    </row>
    <row r="24" spans="1:6" ht="15.75">
      <c r="A24" s="54"/>
      <c r="C24" s="56"/>
      <c r="E24" s="54"/>
    </row>
    <row r="25" spans="1:6" ht="15.75">
      <c r="A25" s="54"/>
      <c r="C25" s="56"/>
      <c r="E25" s="54"/>
    </row>
    <row r="26" spans="1:6" ht="15.75">
      <c r="A26" s="54"/>
      <c r="C26" s="56"/>
      <c r="E26" s="54"/>
      <c r="F26" s="75"/>
    </row>
  </sheetData>
  <mergeCells count="1">
    <mergeCell ref="A1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Men Score Entry</vt:lpstr>
      <vt:lpstr>Women Score Entry</vt:lpstr>
      <vt:lpstr>Men Saturday Team</vt:lpstr>
      <vt:lpstr>Men Saturday Individual</vt:lpstr>
      <vt:lpstr>Women Saturday Team</vt:lpstr>
      <vt:lpstr>Women Saturday Individual</vt:lpstr>
      <vt:lpstr>Men Sunday Baker</vt:lpstr>
      <vt:lpstr>Women Sunday Baker</vt:lpstr>
      <vt:lpstr>Men Bracket</vt:lpstr>
      <vt:lpstr>Women Bracket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H2M</dc:creator>
  <cp:lastModifiedBy>H2M</cp:lastModifiedBy>
  <dcterms:created xsi:type="dcterms:W3CDTF">2017-02-12T21:36:20Z</dcterms:created>
  <dcterms:modified xsi:type="dcterms:W3CDTF">2017-02-13T00:20:11Z</dcterms:modified>
</cp:coreProperties>
</file>