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h\Documents\H2M MANAGEMENT\2021 2 Mid-South Conference\5 - 2020 MSC Pre-Season Tournament\"/>
    </mc:Choice>
  </mc:AlternateContent>
  <xr:revisionPtr revIDLastSave="0" documentId="8_{159C25F7-ECDB-4B6D-9D57-1B99488547E5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Women's Scores" sheetId="8" r:id="rId1"/>
    <sheet name="Team Women" sheetId="10" r:id="rId2"/>
    <sheet name="Individual Women" sheetId="9" r:id="rId3"/>
    <sheet name="Standing sheet" sheetId="11" r:id="rId4"/>
    <sheet name="Men's Scores" sheetId="1" r:id="rId5"/>
    <sheet name="Team Men" sheetId="7" r:id="rId6"/>
    <sheet name="Individual Men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5" i="8" l="1"/>
  <c r="J65" i="8"/>
  <c r="J41" i="8"/>
  <c r="J49" i="8"/>
  <c r="J57" i="8"/>
  <c r="J17" i="8"/>
  <c r="J89" i="8"/>
  <c r="J25" i="8"/>
  <c r="J73" i="8"/>
  <c r="J97" i="8"/>
  <c r="J81" i="8"/>
  <c r="J33" i="8"/>
  <c r="J9" i="8"/>
  <c r="J104" i="8"/>
  <c r="J80" i="8"/>
  <c r="J64" i="8"/>
  <c r="J40" i="8"/>
  <c r="J88" i="8"/>
  <c r="J16" i="8"/>
  <c r="J56" i="8"/>
  <c r="J72" i="8"/>
  <c r="J24" i="8"/>
  <c r="J48" i="8"/>
  <c r="J8" i="8"/>
  <c r="J32" i="8"/>
  <c r="J96" i="8"/>
  <c r="J39" i="8"/>
  <c r="J7" i="8"/>
  <c r="J63" i="8"/>
  <c r="J15" i="8"/>
  <c r="J79" i="8"/>
  <c r="J55" i="8"/>
  <c r="J71" i="8"/>
  <c r="J23" i="8"/>
  <c r="J103" i="8"/>
  <c r="J87" i="8"/>
  <c r="J31" i="8"/>
  <c r="J95" i="8"/>
  <c r="J47" i="8"/>
  <c r="J6" i="8"/>
  <c r="J14" i="8"/>
  <c r="J38" i="8"/>
  <c r="J54" i="8"/>
  <c r="J22" i="8"/>
  <c r="J70" i="8"/>
  <c r="J62" i="8"/>
  <c r="J78" i="8"/>
  <c r="J86" i="8"/>
  <c r="J30" i="8"/>
  <c r="J46" i="8"/>
  <c r="J102" i="8"/>
  <c r="J94" i="8"/>
  <c r="J41" i="1" l="1"/>
  <c r="J73" i="1"/>
  <c r="J9" i="1"/>
  <c r="J57" i="1"/>
  <c r="J33" i="1"/>
  <c r="J81" i="1"/>
  <c r="J8" i="1"/>
  <c r="J40" i="1"/>
  <c r="J32" i="1"/>
  <c r="J64" i="1"/>
  <c r="J56" i="1"/>
  <c r="J72" i="1"/>
  <c r="J80" i="1"/>
  <c r="J48" i="1"/>
  <c r="J16" i="1"/>
  <c r="J55" i="1"/>
  <c r="J39" i="1"/>
  <c r="J31" i="1"/>
  <c r="J15" i="1"/>
  <c r="J79" i="1"/>
  <c r="J7" i="1"/>
  <c r="J63" i="1"/>
  <c r="J71" i="1"/>
  <c r="J70" i="1"/>
  <c r="J38" i="1"/>
  <c r="J54" i="1"/>
  <c r="J30" i="1"/>
  <c r="J14" i="1"/>
  <c r="J6" i="1"/>
  <c r="J46" i="1"/>
  <c r="J78" i="1"/>
  <c r="J62" i="1"/>
  <c r="G81" i="1" l="1"/>
  <c r="G80" i="1"/>
  <c r="G79" i="1"/>
  <c r="G78" i="1"/>
  <c r="J77" i="1"/>
  <c r="G77" i="1"/>
  <c r="J76" i="1"/>
  <c r="G76" i="1"/>
  <c r="J75" i="1"/>
  <c r="G75" i="1"/>
  <c r="J74" i="1"/>
  <c r="G74" i="1"/>
  <c r="G73" i="1"/>
  <c r="G72" i="1"/>
  <c r="G71" i="1"/>
  <c r="G70" i="1"/>
  <c r="J69" i="1"/>
  <c r="G69" i="1"/>
  <c r="J68" i="1"/>
  <c r="G68" i="1"/>
  <c r="J67" i="1"/>
  <c r="G67" i="1"/>
  <c r="J66" i="1"/>
  <c r="G66" i="1"/>
  <c r="G65" i="1"/>
  <c r="G64" i="1"/>
  <c r="G63" i="1"/>
  <c r="G62" i="1"/>
  <c r="J61" i="1"/>
  <c r="G61" i="1"/>
  <c r="J60" i="1"/>
  <c r="G60" i="1"/>
  <c r="J59" i="1"/>
  <c r="G59" i="1"/>
  <c r="J58" i="1"/>
  <c r="G58" i="1"/>
  <c r="G57" i="1"/>
  <c r="G56" i="1"/>
  <c r="G55" i="1"/>
  <c r="G54" i="1"/>
  <c r="J53" i="1"/>
  <c r="G53" i="1"/>
  <c r="J52" i="1"/>
  <c r="G52" i="1"/>
  <c r="J51" i="1"/>
  <c r="G51" i="1"/>
  <c r="J50" i="1"/>
  <c r="G50" i="1"/>
  <c r="G49" i="1"/>
  <c r="G48" i="1"/>
  <c r="G47" i="1"/>
  <c r="G46" i="1"/>
  <c r="J45" i="1"/>
  <c r="G45" i="1"/>
  <c r="J44" i="1"/>
  <c r="G44" i="1"/>
  <c r="J43" i="1"/>
  <c r="G43" i="1"/>
  <c r="J42" i="1"/>
  <c r="G42" i="1"/>
  <c r="G41" i="1"/>
  <c r="G40" i="1"/>
  <c r="G39" i="1"/>
  <c r="G38" i="1"/>
  <c r="J37" i="1"/>
  <c r="G37" i="1"/>
  <c r="J36" i="1"/>
  <c r="G36" i="1"/>
  <c r="J35" i="1"/>
  <c r="G35" i="1"/>
  <c r="J34" i="1"/>
  <c r="G34" i="1"/>
  <c r="G33" i="1"/>
  <c r="G32" i="1"/>
  <c r="G31" i="1"/>
  <c r="G30" i="1"/>
  <c r="J29" i="1"/>
  <c r="G29" i="1"/>
  <c r="J28" i="1"/>
  <c r="G28" i="1"/>
  <c r="J27" i="1"/>
  <c r="G27" i="1"/>
  <c r="J26" i="1"/>
  <c r="G26" i="1"/>
  <c r="G25" i="1"/>
  <c r="G24" i="1"/>
  <c r="G23" i="1"/>
  <c r="G22" i="1"/>
  <c r="J21" i="1"/>
  <c r="G21" i="1"/>
  <c r="J20" i="1"/>
  <c r="G20" i="1"/>
  <c r="J19" i="1"/>
  <c r="G19" i="1"/>
  <c r="J18" i="1"/>
  <c r="G18" i="1"/>
  <c r="G17" i="1"/>
  <c r="G16" i="1"/>
  <c r="G15" i="1"/>
  <c r="G14" i="1"/>
  <c r="J13" i="1"/>
  <c r="G13" i="1"/>
  <c r="J12" i="1"/>
  <c r="G12" i="1"/>
  <c r="J11" i="1"/>
  <c r="G11" i="1"/>
  <c r="J10" i="1"/>
  <c r="G10" i="1"/>
  <c r="G9" i="1"/>
  <c r="G8" i="1"/>
  <c r="G7" i="1"/>
  <c r="G6" i="1"/>
  <c r="J5" i="1"/>
  <c r="G5" i="1"/>
  <c r="J4" i="1"/>
  <c r="G4" i="1"/>
  <c r="J3" i="1"/>
  <c r="G3" i="1"/>
  <c r="J2" i="1"/>
  <c r="G2" i="1"/>
  <c r="G105" i="8"/>
  <c r="G104" i="8"/>
  <c r="G103" i="8"/>
  <c r="G102" i="8"/>
  <c r="J101" i="8"/>
  <c r="G101" i="8"/>
  <c r="J100" i="8"/>
  <c r="G100" i="8"/>
  <c r="J99" i="8"/>
  <c r="G99" i="8"/>
  <c r="J98" i="8"/>
  <c r="G98" i="8"/>
  <c r="G97" i="8"/>
  <c r="G96" i="8"/>
  <c r="G95" i="8"/>
  <c r="G94" i="8"/>
  <c r="J93" i="8"/>
  <c r="G93" i="8"/>
  <c r="J92" i="8"/>
  <c r="G92" i="8"/>
  <c r="J91" i="8"/>
  <c r="G91" i="8"/>
  <c r="J90" i="8"/>
  <c r="G90" i="8"/>
  <c r="G89" i="8"/>
  <c r="G88" i="8"/>
  <c r="G87" i="8"/>
  <c r="G86" i="8"/>
  <c r="J85" i="8"/>
  <c r="G85" i="8"/>
  <c r="J84" i="8"/>
  <c r="G84" i="8"/>
  <c r="J83" i="8"/>
  <c r="G83" i="8"/>
  <c r="J82" i="8"/>
  <c r="G82" i="8"/>
  <c r="G81" i="8"/>
  <c r="G80" i="8"/>
  <c r="G79" i="8"/>
  <c r="G78" i="8"/>
  <c r="J77" i="8"/>
  <c r="G77" i="8"/>
  <c r="J76" i="8"/>
  <c r="G76" i="8"/>
  <c r="J75" i="8"/>
  <c r="G75" i="8"/>
  <c r="J74" i="8"/>
  <c r="G74" i="8"/>
  <c r="G73" i="8"/>
  <c r="G72" i="8"/>
  <c r="G71" i="8"/>
  <c r="G70" i="8"/>
  <c r="J69" i="8"/>
  <c r="G69" i="8"/>
  <c r="J68" i="8"/>
  <c r="G68" i="8"/>
  <c r="J67" i="8"/>
  <c r="G67" i="8"/>
  <c r="J66" i="8"/>
  <c r="G66" i="8"/>
  <c r="G65" i="8"/>
  <c r="G64" i="8"/>
  <c r="G63" i="8"/>
  <c r="G62" i="8"/>
  <c r="J61" i="8"/>
  <c r="G61" i="8"/>
  <c r="J60" i="8"/>
  <c r="G60" i="8"/>
  <c r="J59" i="8"/>
  <c r="G59" i="8"/>
  <c r="J58" i="8"/>
  <c r="G58" i="8"/>
  <c r="G57" i="8"/>
  <c r="G56" i="8"/>
  <c r="G55" i="8"/>
  <c r="G54" i="8"/>
  <c r="J53" i="8"/>
  <c r="G53" i="8"/>
  <c r="J52" i="8"/>
  <c r="G52" i="8"/>
  <c r="J51" i="8"/>
  <c r="G51" i="8"/>
  <c r="J50" i="8"/>
  <c r="G50" i="8"/>
  <c r="G49" i="8"/>
  <c r="G48" i="8"/>
  <c r="G47" i="8"/>
  <c r="G46" i="8"/>
  <c r="J45" i="8"/>
  <c r="G45" i="8"/>
  <c r="J44" i="8"/>
  <c r="G44" i="8"/>
  <c r="J43" i="8"/>
  <c r="G43" i="8"/>
  <c r="J42" i="8"/>
  <c r="G42" i="8"/>
  <c r="G41" i="8"/>
  <c r="G40" i="8"/>
  <c r="G39" i="8"/>
  <c r="G38" i="8"/>
  <c r="J37" i="8"/>
  <c r="G37" i="8"/>
  <c r="J36" i="8"/>
  <c r="G36" i="8"/>
  <c r="J35" i="8"/>
  <c r="G35" i="8"/>
  <c r="J34" i="8"/>
  <c r="G34" i="8"/>
  <c r="G33" i="8"/>
  <c r="G32" i="8"/>
  <c r="G31" i="8"/>
  <c r="G30" i="8"/>
  <c r="J29" i="8"/>
  <c r="G29" i="8"/>
  <c r="J28" i="8"/>
  <c r="G28" i="8"/>
  <c r="J27" i="8"/>
  <c r="G27" i="8"/>
  <c r="J26" i="8"/>
  <c r="G26" i="8"/>
  <c r="G25" i="8"/>
  <c r="G24" i="8"/>
  <c r="G23" i="8"/>
  <c r="G22" i="8"/>
  <c r="J21" i="8"/>
  <c r="G21" i="8"/>
  <c r="J20" i="8"/>
  <c r="G20" i="8"/>
  <c r="J19" i="8"/>
  <c r="G19" i="8"/>
  <c r="J18" i="8"/>
  <c r="G18" i="8"/>
  <c r="G17" i="8"/>
  <c r="G16" i="8"/>
  <c r="G15" i="8"/>
  <c r="G14" i="8"/>
  <c r="J13" i="8"/>
  <c r="G13" i="8"/>
  <c r="J12" i="8"/>
  <c r="G12" i="8"/>
  <c r="J11" i="8"/>
  <c r="G11" i="8"/>
  <c r="J10" i="8"/>
  <c r="G10" i="8"/>
  <c r="L50" i="8" l="1"/>
  <c r="L58" i="8"/>
  <c r="L42" i="8"/>
  <c r="L90" i="8"/>
  <c r="L98" i="8"/>
  <c r="L74" i="8"/>
  <c r="G9" i="8"/>
  <c r="G8" i="8"/>
  <c r="G7" i="8"/>
  <c r="G6" i="8"/>
  <c r="J5" i="8"/>
  <c r="G5" i="8"/>
  <c r="J4" i="8"/>
  <c r="G4" i="8"/>
  <c r="J3" i="8"/>
  <c r="G3" i="8"/>
  <c r="L2" i="8"/>
  <c r="J2" i="8"/>
  <c r="G2" i="8"/>
  <c r="L10" i="8"/>
  <c r="L82" i="8"/>
  <c r="L26" i="8"/>
  <c r="L18" i="8"/>
  <c r="L34" i="8"/>
  <c r="L66" i="8"/>
  <c r="K34" i="1"/>
  <c r="K26" i="1"/>
  <c r="K74" i="1"/>
  <c r="K58" i="1"/>
  <c r="K2" i="1"/>
  <c r="K66" i="1"/>
  <c r="K10" i="1"/>
  <c r="K18" i="1"/>
  <c r="M26" i="8" l="1"/>
  <c r="M90" i="8"/>
  <c r="M66" i="8"/>
  <c r="M82" i="8"/>
  <c r="M98" i="8"/>
  <c r="M50" i="8"/>
  <c r="M34" i="8"/>
  <c r="M74" i="8"/>
  <c r="M42" i="8"/>
  <c r="M18" i="8"/>
  <c r="M10" i="8"/>
  <c r="M2" i="8"/>
  <c r="M58" i="8"/>
  <c r="L10" i="1"/>
  <c r="L18" i="1"/>
  <c r="L2" i="1"/>
  <c r="L74" i="1"/>
  <c r="L34" i="1"/>
  <c r="L66" i="1"/>
  <c r="L58" i="1"/>
  <c r="L26" i="1"/>
  <c r="K42" i="1"/>
  <c r="L50" i="1" l="1"/>
  <c r="L42" i="1"/>
  <c r="K50" i="1" l="1"/>
</calcChain>
</file>

<file path=xl/sharedStrings.xml><?xml version="1.0" encoding="utf-8"?>
<sst xmlns="http://schemas.openxmlformats.org/spreadsheetml/2006/main" count="967" uniqueCount="181">
  <si>
    <t>Game 1</t>
  </si>
  <si>
    <t>Game 2</t>
  </si>
  <si>
    <t>Game 3</t>
  </si>
  <si>
    <t>Team Total</t>
  </si>
  <si>
    <t>Game 4</t>
  </si>
  <si>
    <t>Bowler</t>
  </si>
  <si>
    <t>School</t>
  </si>
  <si>
    <t>Game</t>
  </si>
  <si>
    <t>Individual Totals</t>
  </si>
  <si>
    <t>Midway - Varsity</t>
  </si>
  <si>
    <t>Austin Hensley</t>
  </si>
  <si>
    <t>Baker 1-4</t>
  </si>
  <si>
    <t>Baker 5-8</t>
  </si>
  <si>
    <t>Baker 9-12</t>
  </si>
  <si>
    <t>Afton Lords</t>
  </si>
  <si>
    <t>Ashley Smith</t>
  </si>
  <si>
    <t>Bryanna Taylor</t>
  </si>
  <si>
    <t>Gracie Wyatt</t>
  </si>
  <si>
    <t>Hannah King</t>
  </si>
  <si>
    <t>Kayla Horn</t>
  </si>
  <si>
    <t>Trista Lee</t>
  </si>
  <si>
    <t>Taylor Petrey</t>
  </si>
  <si>
    <t>Dylan Keranen</t>
  </si>
  <si>
    <t>Patrick Harmon</t>
  </si>
  <si>
    <t>Troy Lund</t>
  </si>
  <si>
    <t>Zack Halstead</t>
  </si>
  <si>
    <t>Durbin Boggs</t>
  </si>
  <si>
    <t>Midway - JV</t>
  </si>
  <si>
    <t>Daekwon Christopher</t>
  </si>
  <si>
    <t>Isiah Gordon</t>
  </si>
  <si>
    <t>Judson Tabor</t>
  </si>
  <si>
    <t>Logan Shaner</t>
  </si>
  <si>
    <t>Ryan Meyers</t>
  </si>
  <si>
    <t>Sam Kobert</t>
  </si>
  <si>
    <t>Huntington - Varsity</t>
  </si>
  <si>
    <t>Austin Schultz</t>
  </si>
  <si>
    <t>Jordan Herring</t>
  </si>
  <si>
    <t>Dylan Crowley</t>
  </si>
  <si>
    <t>Matt Foutz</t>
  </si>
  <si>
    <t>Heath Atkins</t>
  </si>
  <si>
    <t>Huntington - JV</t>
  </si>
  <si>
    <t>Nick Vinson</t>
  </si>
  <si>
    <t>Dylan Herring</t>
  </si>
  <si>
    <t>Daniel Burzynski</t>
  </si>
  <si>
    <t>Hunter Burns</t>
  </si>
  <si>
    <t>Derek Leyba</t>
  </si>
  <si>
    <t>Huntington - JV1</t>
  </si>
  <si>
    <t>Huntington - JV2</t>
  </si>
  <si>
    <t>Amber Elliott</t>
  </si>
  <si>
    <t>Paige New</t>
  </si>
  <si>
    <t>Katie Fraser</t>
  </si>
  <si>
    <t>Kyndal Collins</t>
  </si>
  <si>
    <t>DaYanira Garza</t>
  </si>
  <si>
    <t>Jessica Fraser</t>
  </si>
  <si>
    <t>Ruth Click</t>
  </si>
  <si>
    <t>Isabel Sitkowski</t>
  </si>
  <si>
    <t>Bailey Wright</t>
  </si>
  <si>
    <t>Rebecca Schutt</t>
  </si>
  <si>
    <t>Lindsey Downs</t>
  </si>
  <si>
    <t>Savannah Albers</t>
  </si>
  <si>
    <t>Bella Canfield</t>
  </si>
  <si>
    <t>Klaryssa O'Rielly</t>
  </si>
  <si>
    <t>Brooke-Destinee Lockwood</t>
  </si>
  <si>
    <t>Katelyn Harney</t>
  </si>
  <si>
    <t>Sydney Fahrer</t>
  </si>
  <si>
    <t>Rio Grande - Varsity</t>
  </si>
  <si>
    <t>Nathan Burns</t>
  </si>
  <si>
    <t>Reece Collins</t>
  </si>
  <si>
    <t>Daniel Gross</t>
  </si>
  <si>
    <t>Colin Little</t>
  </si>
  <si>
    <t>James Morris</t>
  </si>
  <si>
    <t>Isaiah Pickell</t>
  </si>
  <si>
    <t>Chris Somerville</t>
  </si>
  <si>
    <t>Cierra Clark</t>
  </si>
  <si>
    <t>Sydney Dickson</t>
  </si>
  <si>
    <t>Brianna Eberle</t>
  </si>
  <si>
    <t>Rena Kirts</t>
  </si>
  <si>
    <t>Alyssa Lingenfelter</t>
  </si>
  <si>
    <t>Cumberland - Varsity</t>
  </si>
  <si>
    <t>Mason Adcock</t>
  </si>
  <si>
    <t>Matthew Charlton</t>
  </si>
  <si>
    <t>Thomas Chenault</t>
  </si>
  <si>
    <t>Matthew Dominy</t>
  </si>
  <si>
    <t>Grayson Hemontolor</t>
  </si>
  <si>
    <t>Taylor Fielder</t>
  </si>
  <si>
    <t>Cumberland - JV</t>
  </si>
  <si>
    <t>Ali Davis</t>
  </si>
  <si>
    <t>Emily Glover</t>
  </si>
  <si>
    <t>Hattie Isham</t>
  </si>
  <si>
    <t>Kelci Young</t>
  </si>
  <si>
    <t>Kristin Sheffield</t>
  </si>
  <si>
    <t>Kristina Walls</t>
  </si>
  <si>
    <t>Amy Fisher</t>
  </si>
  <si>
    <t>Lexi Underwood</t>
  </si>
  <si>
    <t>Skyann Wiley</t>
  </si>
  <si>
    <t>Caitlin Law</t>
  </si>
  <si>
    <t>Lexi Law</t>
  </si>
  <si>
    <t>Missouri Baptist - Varsity</t>
  </si>
  <si>
    <t>Jonah Drush</t>
  </si>
  <si>
    <t>Noah Gallagher</t>
  </si>
  <si>
    <t>Adam Gimbel</t>
  </si>
  <si>
    <t>Zachary Johnson</t>
  </si>
  <si>
    <t>Cameron Peters</t>
  </si>
  <si>
    <t>Dakoda Phelps</t>
  </si>
  <si>
    <t>Cameron Stillman</t>
  </si>
  <si>
    <t>Bryce Thurman</t>
  </si>
  <si>
    <t>Alexandria Cruez</t>
  </si>
  <si>
    <t>Haley Dunn</t>
  </si>
  <si>
    <t>Megan Jones</t>
  </si>
  <si>
    <t>Felicia Lightfoot</t>
  </si>
  <si>
    <t>Delana Mentel</t>
  </si>
  <si>
    <t>Megan Odum</t>
  </si>
  <si>
    <t>Kailyn Senaldi</t>
  </si>
  <si>
    <t>University of the Cumberlands - Varsity</t>
  </si>
  <si>
    <t>Bryce Frantz</t>
  </si>
  <si>
    <t>Thomas McNeal</t>
  </si>
  <si>
    <t>Aaron Warner</t>
  </si>
  <si>
    <t>Charlie Wilken</t>
  </si>
  <si>
    <t>Liam McNamara</t>
  </si>
  <si>
    <t>Dustin Warmoth</t>
  </si>
  <si>
    <t>Jacob Rowan</t>
  </si>
  <si>
    <t>Kerrigan Welch</t>
  </si>
  <si>
    <t>Mickayla Shannon</t>
  </si>
  <si>
    <t>Megan Kelly</t>
  </si>
  <si>
    <t>Reighann Oliphant</t>
  </si>
  <si>
    <t>Allysen Coryell</t>
  </si>
  <si>
    <t>Kiara Abanto</t>
  </si>
  <si>
    <t>Haleigh Lawell</t>
  </si>
  <si>
    <t>Erika Taylor</t>
  </si>
  <si>
    <t>Kaitlyn Egan</t>
  </si>
  <si>
    <t>Ashley Nelson</t>
  </si>
  <si>
    <t>Emma Layman</t>
  </si>
  <si>
    <t>McKenna Ellen</t>
  </si>
  <si>
    <t>Alexia Barnes</t>
  </si>
  <si>
    <t>University of the Cumberlands - JV</t>
  </si>
  <si>
    <t>Lincoln College - Varsity</t>
  </si>
  <si>
    <t>Brandon Beto</t>
  </si>
  <si>
    <t>Blaine Hunt</t>
  </si>
  <si>
    <t>Avery Evans</t>
  </si>
  <si>
    <t>Ethan Aughenbaugh</t>
  </si>
  <si>
    <t>Robert Grey</t>
  </si>
  <si>
    <t>Vinny Parise</t>
  </si>
  <si>
    <t>Chris Salon</t>
  </si>
  <si>
    <t>Cristal Buckman</t>
  </si>
  <si>
    <t>Marissa Sifuentez</t>
  </si>
  <si>
    <t>Neena Dingillo</t>
  </si>
  <si>
    <t>Jaylyn Linder</t>
  </si>
  <si>
    <t>Sydney Swiercz</t>
  </si>
  <si>
    <t>Samantha Andrews</t>
  </si>
  <si>
    <t>Lourdes University - Varsity</t>
  </si>
  <si>
    <t>Breanna Gibbons</t>
  </si>
  <si>
    <t>Alexandria Hahn</t>
  </si>
  <si>
    <t>Taylor McBride</t>
  </si>
  <si>
    <t>Jenna Beatty</t>
  </si>
  <si>
    <t>Kyaira Stephens</t>
  </si>
  <si>
    <t>Madison Shalhoup</t>
  </si>
  <si>
    <t>Serena Nichols</t>
  </si>
  <si>
    <t>Abigail Arnes</t>
  </si>
  <si>
    <t>Lourdes University - JV</t>
  </si>
  <si>
    <t>Jimi McKnew</t>
  </si>
  <si>
    <t>Taylor Weldon</t>
  </si>
  <si>
    <t>Makayla Moore</t>
  </si>
  <si>
    <t>Adrienne Polonio</t>
  </si>
  <si>
    <t>Nadia Kimbrough</t>
  </si>
  <si>
    <t>Briah Wesby</t>
  </si>
  <si>
    <t>Emily Pruss</t>
  </si>
  <si>
    <t>Corbin Garris</t>
  </si>
  <si>
    <t>Nicholas Riley</t>
  </si>
  <si>
    <t>Jacob Hornstien</t>
  </si>
  <si>
    <t>Aaron Lenz</t>
  </si>
  <si>
    <t>Alex Burton</t>
  </si>
  <si>
    <t>Ethan Achten</t>
  </si>
  <si>
    <t>Thomas Gunter</t>
  </si>
  <si>
    <t>Donald Barton</t>
  </si>
  <si>
    <t>Logan Estep</t>
  </si>
  <si>
    <t>Baker 13-16</t>
  </si>
  <si>
    <t>Team</t>
  </si>
  <si>
    <t>Team total</t>
  </si>
  <si>
    <t>Taylor Ross</t>
  </si>
  <si>
    <t>Kayli Iorio</t>
  </si>
  <si>
    <t>Haley Tucker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</si>
</sst>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3" borderId="3" xfId="2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" fillId="0" borderId="3" xfId="3" applyFill="1" applyBorder="1" applyAlignment="1">
      <alignment horizontal="center" vertical="center"/>
    </xf>
    <xf numFmtId="0" fontId="1" fillId="0" borderId="3" xfId="4" applyFill="1" applyBorder="1" applyAlignment="1">
      <alignment horizontal="center" vertical="center"/>
    </xf>
    <xf numFmtId="0" fontId="1" fillId="0" borderId="3" xfId="5" applyFill="1" applyBorder="1" applyAlignment="1">
      <alignment horizontal="center" vertical="center"/>
    </xf>
    <xf numFmtId="0" fontId="1" fillId="0" borderId="3" xfId="6" applyFill="1" applyBorder="1" applyAlignment="1">
      <alignment horizontal="center" vertical="center"/>
    </xf>
    <xf numFmtId="0" fontId="1" fillId="3" borderId="3" xfId="2" applyBorder="1" applyAlignment="1">
      <alignment horizontal="center" vertical="center"/>
    </xf>
    <xf numFmtId="0" fontId="5" fillId="3" borderId="3" xfId="2" applyFont="1" applyBorder="1" applyAlignment="1">
      <alignment horizontal="center" vertical="center"/>
    </xf>
    <xf numFmtId="0" fontId="1" fillId="0" borderId="3" xfId="2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20% - Accent2" xfId="4" builtinId="34"/>
    <cellStyle name="20% - Accent5" xfId="5" builtinId="46"/>
    <cellStyle name="20% - Accent6" xfId="6" builtinId="50"/>
    <cellStyle name="40% - Accent1" xfId="3" builtinId="31"/>
    <cellStyle name="Input" xfId="1" builtinId="20"/>
    <cellStyle name="Normal" xfId="0" builtinId="0"/>
    <cellStyle name="Note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5"/>
  <sheetViews>
    <sheetView workbookViewId="0">
      <selection activeCell="J105" sqref="J105"/>
    </sheetView>
  </sheetViews>
  <sheetFormatPr defaultColWidth="17" defaultRowHeight="15" x14ac:dyDescent="0.25"/>
  <cols>
    <col min="1" max="1" width="36.42578125" style="1" bestFit="1" customWidth="1"/>
    <col min="2" max="2" width="25.85546875" style="1" bestFit="1" customWidth="1"/>
    <col min="3" max="6" width="7.5703125" style="1" bestFit="1" customWidth="1"/>
    <col min="7" max="7" width="15.7109375" style="1" bestFit="1" customWidth="1"/>
    <col min="8" max="8" width="4.7109375" style="1" customWidth="1"/>
    <col min="9" max="9" width="11.140625" style="1" bestFit="1" customWidth="1"/>
    <col min="10" max="10" width="10.7109375" style="1" bestFit="1" customWidth="1"/>
    <col min="11" max="11" width="5.28515625" style="1" customWidth="1"/>
    <col min="12" max="12" width="36.42578125" style="1" bestFit="1" customWidth="1"/>
    <col min="13" max="13" width="10.42578125" style="1" bestFit="1" customWidth="1"/>
    <col min="14" max="16384" width="17" style="1"/>
  </cols>
  <sheetData>
    <row r="1" spans="1:13" x14ac:dyDescent="0.25">
      <c r="A1" s="16" t="s">
        <v>6</v>
      </c>
      <c r="B1" s="16" t="s">
        <v>5</v>
      </c>
      <c r="C1" s="16" t="s">
        <v>0</v>
      </c>
      <c r="D1" s="16" t="s">
        <v>1</v>
      </c>
      <c r="E1" s="16" t="s">
        <v>2</v>
      </c>
      <c r="F1" s="16" t="s">
        <v>4</v>
      </c>
      <c r="G1" s="16" t="s">
        <v>8</v>
      </c>
      <c r="H1" s="16"/>
      <c r="I1" s="16" t="s">
        <v>7</v>
      </c>
      <c r="J1" s="16" t="s">
        <v>3</v>
      </c>
      <c r="K1" s="16"/>
      <c r="L1" s="16" t="s">
        <v>176</v>
      </c>
      <c r="M1" s="16" t="s">
        <v>177</v>
      </c>
    </row>
    <row r="2" spans="1:13" x14ac:dyDescent="0.25">
      <c r="A2" s="3" t="s">
        <v>85</v>
      </c>
      <c r="B2" s="3" t="s">
        <v>92</v>
      </c>
      <c r="C2" s="3">
        <v>79</v>
      </c>
      <c r="D2" s="3">
        <v>120</v>
      </c>
      <c r="E2" s="3">
        <v>104</v>
      </c>
      <c r="F2" s="3">
        <v>96</v>
      </c>
      <c r="G2" s="3">
        <f t="shared" ref="G2:G33" si="0">SUM(C2:F2)</f>
        <v>399</v>
      </c>
      <c r="H2" s="3"/>
      <c r="I2" s="3" t="s">
        <v>0</v>
      </c>
      <c r="J2" s="3">
        <f>SUM(C2:C9)</f>
        <v>586</v>
      </c>
      <c r="K2" s="3"/>
      <c r="L2" s="3" t="str">
        <f>A2</f>
        <v>Cumberland - JV</v>
      </c>
      <c r="M2" s="3">
        <f>SUM(J2:J9)</f>
        <v>4501</v>
      </c>
    </row>
    <row r="3" spans="1:13" x14ac:dyDescent="0.25">
      <c r="A3" s="3" t="s">
        <v>85</v>
      </c>
      <c r="B3" s="3" t="s">
        <v>93</v>
      </c>
      <c r="C3" s="3">
        <v>102</v>
      </c>
      <c r="D3" s="3">
        <v>152</v>
      </c>
      <c r="E3" s="3">
        <v>119</v>
      </c>
      <c r="F3" s="3">
        <v>124</v>
      </c>
      <c r="G3" s="3">
        <f t="shared" si="0"/>
        <v>497</v>
      </c>
      <c r="H3" s="3"/>
      <c r="I3" s="3" t="s">
        <v>1</v>
      </c>
      <c r="J3" s="3">
        <f>SUM(D2:D9)</f>
        <v>645</v>
      </c>
      <c r="K3" s="3"/>
      <c r="L3" s="3"/>
      <c r="M3" s="3"/>
    </row>
    <row r="4" spans="1:13" x14ac:dyDescent="0.25">
      <c r="A4" s="3" t="s">
        <v>85</v>
      </c>
      <c r="B4" s="3" t="s">
        <v>94</v>
      </c>
      <c r="C4" s="3">
        <v>137</v>
      </c>
      <c r="D4" s="3">
        <v>132</v>
      </c>
      <c r="E4" s="3">
        <v>160</v>
      </c>
      <c r="F4" s="3">
        <v>191</v>
      </c>
      <c r="G4" s="3">
        <f t="shared" si="0"/>
        <v>620</v>
      </c>
      <c r="H4" s="3"/>
      <c r="I4" s="3" t="s">
        <v>2</v>
      </c>
      <c r="J4" s="3">
        <f>SUM(E2:E9)</f>
        <v>640</v>
      </c>
      <c r="K4" s="3"/>
      <c r="L4" s="3"/>
      <c r="M4" s="3"/>
    </row>
    <row r="5" spans="1:13" x14ac:dyDescent="0.25">
      <c r="A5" s="3" t="s">
        <v>85</v>
      </c>
      <c r="B5" s="3" t="s">
        <v>95</v>
      </c>
      <c r="C5" s="3">
        <v>103</v>
      </c>
      <c r="D5" s="3">
        <v>130</v>
      </c>
      <c r="E5" s="3">
        <v>148</v>
      </c>
      <c r="F5" s="3">
        <v>120</v>
      </c>
      <c r="G5" s="3">
        <f t="shared" si="0"/>
        <v>501</v>
      </c>
      <c r="H5" s="3"/>
      <c r="I5" s="3" t="s">
        <v>4</v>
      </c>
      <c r="J5" s="3">
        <f>SUM(F2:F9)</f>
        <v>675</v>
      </c>
      <c r="K5" s="3"/>
      <c r="L5" s="3"/>
      <c r="M5" s="3"/>
    </row>
    <row r="6" spans="1:13" x14ac:dyDescent="0.25">
      <c r="A6" s="3" t="s">
        <v>85</v>
      </c>
      <c r="B6" s="3" t="s">
        <v>96</v>
      </c>
      <c r="C6" s="3">
        <v>165</v>
      </c>
      <c r="D6" s="3">
        <v>111</v>
      </c>
      <c r="E6" s="3">
        <v>109</v>
      </c>
      <c r="F6" s="3">
        <v>144</v>
      </c>
      <c r="G6" s="3">
        <f t="shared" si="0"/>
        <v>529</v>
      </c>
      <c r="H6" s="3"/>
      <c r="I6" s="3" t="s">
        <v>11</v>
      </c>
      <c r="J6" s="3">
        <f>103+106+177+126</f>
        <v>512</v>
      </c>
      <c r="K6" s="3"/>
      <c r="L6" s="3"/>
      <c r="M6" s="3"/>
    </row>
    <row r="7" spans="1:13" x14ac:dyDescent="0.25">
      <c r="A7" s="3" t="s">
        <v>85</v>
      </c>
      <c r="B7" s="3"/>
      <c r="C7" s="3"/>
      <c r="D7" s="3"/>
      <c r="E7" s="3"/>
      <c r="F7" s="3"/>
      <c r="G7" s="3">
        <f t="shared" si="0"/>
        <v>0</v>
      </c>
      <c r="H7" s="3"/>
      <c r="I7" s="3" t="s">
        <v>12</v>
      </c>
      <c r="J7" s="3">
        <f>142+119+106+99</f>
        <v>466</v>
      </c>
      <c r="K7" s="3"/>
      <c r="L7" s="3"/>
      <c r="M7" s="3"/>
    </row>
    <row r="8" spans="1:13" x14ac:dyDescent="0.25">
      <c r="A8" s="3" t="s">
        <v>85</v>
      </c>
      <c r="B8" s="3"/>
      <c r="C8" s="3"/>
      <c r="D8" s="3"/>
      <c r="E8" s="3"/>
      <c r="F8" s="3"/>
      <c r="G8" s="3">
        <f t="shared" si="0"/>
        <v>0</v>
      </c>
      <c r="H8" s="3"/>
      <c r="I8" s="3" t="s">
        <v>13</v>
      </c>
      <c r="J8" s="3">
        <f>98+135+139+99</f>
        <v>471</v>
      </c>
      <c r="K8" s="3"/>
      <c r="L8" s="3"/>
      <c r="M8" s="3"/>
    </row>
    <row r="9" spans="1:13" x14ac:dyDescent="0.25">
      <c r="A9" s="3" t="s">
        <v>85</v>
      </c>
      <c r="B9" s="3"/>
      <c r="C9" s="3"/>
      <c r="D9" s="3"/>
      <c r="E9" s="3"/>
      <c r="F9" s="3"/>
      <c r="G9" s="3">
        <f t="shared" si="0"/>
        <v>0</v>
      </c>
      <c r="H9" s="3"/>
      <c r="I9" s="3" t="s">
        <v>175</v>
      </c>
      <c r="J9" s="3">
        <f>141+110+127+128</f>
        <v>506</v>
      </c>
      <c r="K9" s="3"/>
      <c r="L9" s="3"/>
      <c r="M9" s="3"/>
    </row>
    <row r="10" spans="1:13" x14ac:dyDescent="0.25">
      <c r="A10" s="2" t="s">
        <v>78</v>
      </c>
      <c r="B10" s="2" t="s">
        <v>86</v>
      </c>
      <c r="C10" s="2">
        <v>193</v>
      </c>
      <c r="D10" s="2">
        <v>153</v>
      </c>
      <c r="E10" s="2">
        <v>146</v>
      </c>
      <c r="F10" s="2">
        <v>152</v>
      </c>
      <c r="G10" s="2">
        <f t="shared" si="0"/>
        <v>644</v>
      </c>
      <c r="H10" s="2"/>
      <c r="I10" s="2" t="s">
        <v>0</v>
      </c>
      <c r="J10" s="2">
        <f>SUM(C10:C17)</f>
        <v>766</v>
      </c>
      <c r="K10" s="2"/>
      <c r="L10" s="2" t="str">
        <f>A10</f>
        <v>Cumberland - Varsity</v>
      </c>
      <c r="M10" s="2">
        <f>SUM(J10:J17)</f>
        <v>5212</v>
      </c>
    </row>
    <row r="11" spans="1:13" x14ac:dyDescent="0.25">
      <c r="A11" s="2" t="s">
        <v>78</v>
      </c>
      <c r="B11" s="2" t="s">
        <v>87</v>
      </c>
      <c r="C11" s="2">
        <v>148</v>
      </c>
      <c r="D11" s="2">
        <v>152</v>
      </c>
      <c r="E11" s="2">
        <v>158</v>
      </c>
      <c r="F11" s="2">
        <v>145</v>
      </c>
      <c r="G11" s="2">
        <f t="shared" si="0"/>
        <v>603</v>
      </c>
      <c r="H11" s="2"/>
      <c r="I11" s="2" t="s">
        <v>1</v>
      </c>
      <c r="J11" s="2">
        <f>SUM(D10:D17)</f>
        <v>824</v>
      </c>
      <c r="K11" s="2"/>
      <c r="L11" s="2"/>
      <c r="M11" s="2"/>
    </row>
    <row r="12" spans="1:13" x14ac:dyDescent="0.25">
      <c r="A12" s="2" t="s">
        <v>78</v>
      </c>
      <c r="B12" s="2" t="s">
        <v>88</v>
      </c>
      <c r="C12" s="2">
        <v>148</v>
      </c>
      <c r="D12" s="2">
        <v>147</v>
      </c>
      <c r="E12" s="2">
        <v>116</v>
      </c>
      <c r="F12" s="2">
        <v>140</v>
      </c>
      <c r="G12" s="2">
        <f t="shared" si="0"/>
        <v>551</v>
      </c>
      <c r="H12" s="2"/>
      <c r="I12" s="2" t="s">
        <v>2</v>
      </c>
      <c r="J12" s="2">
        <f>SUM(E10:E17)</f>
        <v>696</v>
      </c>
      <c r="K12" s="2"/>
      <c r="L12" s="2"/>
      <c r="M12" s="2"/>
    </row>
    <row r="13" spans="1:13" x14ac:dyDescent="0.25">
      <c r="A13" s="2" t="s">
        <v>78</v>
      </c>
      <c r="B13" s="2" t="s">
        <v>89</v>
      </c>
      <c r="C13" s="2">
        <v>175</v>
      </c>
      <c r="D13" s="2">
        <v>183</v>
      </c>
      <c r="E13" s="2">
        <v>162</v>
      </c>
      <c r="F13" s="2">
        <v>97</v>
      </c>
      <c r="G13" s="2">
        <f t="shared" si="0"/>
        <v>617</v>
      </c>
      <c r="H13" s="2"/>
      <c r="I13" s="2" t="s">
        <v>4</v>
      </c>
      <c r="J13" s="2">
        <f>SUM(F10:F17)</f>
        <v>703</v>
      </c>
      <c r="K13" s="2"/>
      <c r="L13" s="2"/>
      <c r="M13" s="2"/>
    </row>
    <row r="14" spans="1:13" x14ac:dyDescent="0.25">
      <c r="A14" s="2" t="s">
        <v>78</v>
      </c>
      <c r="B14" s="2" t="s">
        <v>90</v>
      </c>
      <c r="C14" s="2">
        <v>102</v>
      </c>
      <c r="D14" s="2"/>
      <c r="E14" s="2"/>
      <c r="F14" s="2">
        <v>169</v>
      </c>
      <c r="G14" s="2">
        <f t="shared" si="0"/>
        <v>271</v>
      </c>
      <c r="H14" s="2"/>
      <c r="I14" s="2" t="s">
        <v>11</v>
      </c>
      <c r="J14" s="2">
        <f>106+111+146+161</f>
        <v>524</v>
      </c>
      <c r="K14" s="2"/>
      <c r="L14" s="2"/>
      <c r="M14" s="2"/>
    </row>
    <row r="15" spans="1:13" x14ac:dyDescent="0.25">
      <c r="A15" s="2" t="s">
        <v>78</v>
      </c>
      <c r="B15" s="2" t="s">
        <v>91</v>
      </c>
      <c r="C15" s="2"/>
      <c r="D15" s="2">
        <v>189</v>
      </c>
      <c r="E15" s="2">
        <v>114</v>
      </c>
      <c r="F15" s="2"/>
      <c r="G15" s="2">
        <f t="shared" si="0"/>
        <v>303</v>
      </c>
      <c r="H15" s="2"/>
      <c r="I15" s="2" t="s">
        <v>12</v>
      </c>
      <c r="J15" s="2">
        <f>139+161+114+113</f>
        <v>527</v>
      </c>
      <c r="K15" s="2"/>
      <c r="L15" s="2"/>
      <c r="M15" s="2"/>
    </row>
    <row r="16" spans="1:13" x14ac:dyDescent="0.25">
      <c r="A16" s="2" t="s">
        <v>78</v>
      </c>
      <c r="B16" s="2"/>
      <c r="C16" s="2"/>
      <c r="D16" s="2"/>
      <c r="E16" s="2"/>
      <c r="F16" s="2"/>
      <c r="G16" s="2">
        <f t="shared" si="0"/>
        <v>0</v>
      </c>
      <c r="H16" s="2"/>
      <c r="I16" s="2" t="s">
        <v>13</v>
      </c>
      <c r="J16" s="2">
        <f>126+108+134+124</f>
        <v>492</v>
      </c>
      <c r="K16" s="2"/>
      <c r="L16" s="2"/>
      <c r="M16" s="2"/>
    </row>
    <row r="17" spans="1:13" x14ac:dyDescent="0.25">
      <c r="A17" s="2" t="s">
        <v>78</v>
      </c>
      <c r="B17" s="2"/>
      <c r="C17" s="2"/>
      <c r="D17" s="2"/>
      <c r="E17" s="2"/>
      <c r="F17" s="2"/>
      <c r="G17" s="2">
        <f t="shared" si="0"/>
        <v>0</v>
      </c>
      <c r="H17" s="2"/>
      <c r="I17" s="2" t="s">
        <v>175</v>
      </c>
      <c r="J17" s="2">
        <f>156+173+180+171</f>
        <v>680</v>
      </c>
      <c r="K17" s="2"/>
      <c r="L17" s="2"/>
      <c r="M17" s="2"/>
    </row>
    <row r="18" spans="1:13" x14ac:dyDescent="0.25">
      <c r="A18" s="3" t="s">
        <v>46</v>
      </c>
      <c r="B18" s="3" t="s">
        <v>54</v>
      </c>
      <c r="C18" s="3">
        <v>139</v>
      </c>
      <c r="D18" s="3">
        <v>160</v>
      </c>
      <c r="E18" s="3">
        <v>145</v>
      </c>
      <c r="F18" s="3">
        <v>164</v>
      </c>
      <c r="G18" s="3">
        <f t="shared" si="0"/>
        <v>608</v>
      </c>
      <c r="H18" s="3"/>
      <c r="I18" s="3" t="s">
        <v>0</v>
      </c>
      <c r="J18" s="3">
        <f>SUM(C18:C25)</f>
        <v>682</v>
      </c>
      <c r="K18" s="3"/>
      <c r="L18" s="3" t="str">
        <f>A18</f>
        <v>Huntington - JV1</v>
      </c>
      <c r="M18" s="3">
        <f>SUM(J18:J25)</f>
        <v>5510</v>
      </c>
    </row>
    <row r="19" spans="1:13" x14ac:dyDescent="0.25">
      <c r="A19" s="3" t="s">
        <v>46</v>
      </c>
      <c r="B19" s="3" t="s">
        <v>55</v>
      </c>
      <c r="C19" s="3">
        <v>176</v>
      </c>
      <c r="D19" s="3">
        <v>163</v>
      </c>
      <c r="E19" s="3">
        <v>174</v>
      </c>
      <c r="F19" s="3">
        <v>170</v>
      </c>
      <c r="G19" s="3">
        <f t="shared" si="0"/>
        <v>683</v>
      </c>
      <c r="H19" s="3"/>
      <c r="I19" s="3" t="s">
        <v>1</v>
      </c>
      <c r="J19" s="3">
        <f>SUM(D18:D25)</f>
        <v>765</v>
      </c>
      <c r="K19" s="3"/>
      <c r="L19" s="3"/>
      <c r="M19" s="3"/>
    </row>
    <row r="20" spans="1:13" x14ac:dyDescent="0.25">
      <c r="A20" s="3" t="s">
        <v>46</v>
      </c>
      <c r="B20" s="3" t="s">
        <v>180</v>
      </c>
      <c r="C20" s="3">
        <v>108</v>
      </c>
      <c r="D20" s="3"/>
      <c r="E20" s="3"/>
      <c r="F20" s="3"/>
      <c r="G20" s="3">
        <f t="shared" si="0"/>
        <v>108</v>
      </c>
      <c r="H20" s="3"/>
      <c r="I20" s="3" t="s">
        <v>2</v>
      </c>
      <c r="J20" s="3">
        <f>SUM(E18:E25)</f>
        <v>776</v>
      </c>
      <c r="K20" s="3"/>
      <c r="L20" s="3"/>
      <c r="M20" s="3"/>
    </row>
    <row r="21" spans="1:13" x14ac:dyDescent="0.25">
      <c r="A21" s="3" t="s">
        <v>46</v>
      </c>
      <c r="B21" s="3" t="s">
        <v>56</v>
      </c>
      <c r="C21" s="3">
        <v>128</v>
      </c>
      <c r="D21" s="3">
        <v>137</v>
      </c>
      <c r="E21" s="3">
        <v>151</v>
      </c>
      <c r="F21" s="3">
        <v>132</v>
      </c>
      <c r="G21" s="3">
        <f t="shared" si="0"/>
        <v>548</v>
      </c>
      <c r="H21" s="3"/>
      <c r="I21" s="3" t="s">
        <v>4</v>
      </c>
      <c r="J21" s="3">
        <f>SUM(F18:F25)</f>
        <v>761</v>
      </c>
      <c r="K21" s="3"/>
      <c r="L21" s="3"/>
      <c r="M21" s="3"/>
    </row>
    <row r="22" spans="1:13" x14ac:dyDescent="0.25">
      <c r="A22" s="3" t="s">
        <v>46</v>
      </c>
      <c r="B22" s="3" t="s">
        <v>57</v>
      </c>
      <c r="C22" s="3"/>
      <c r="D22" s="3">
        <v>136</v>
      </c>
      <c r="E22" s="3">
        <v>127</v>
      </c>
      <c r="F22" s="3">
        <v>156</v>
      </c>
      <c r="G22" s="3">
        <f t="shared" si="0"/>
        <v>419</v>
      </c>
      <c r="H22" s="3"/>
      <c r="I22" s="3" t="s">
        <v>11</v>
      </c>
      <c r="J22" s="3">
        <f>149+158+127+165</f>
        <v>599</v>
      </c>
      <c r="K22" s="3"/>
      <c r="L22" s="3"/>
      <c r="M22" s="3"/>
    </row>
    <row r="23" spans="1:13" x14ac:dyDescent="0.25">
      <c r="A23" s="3" t="s">
        <v>46</v>
      </c>
      <c r="B23" s="3" t="s">
        <v>58</v>
      </c>
      <c r="C23" s="3">
        <v>131</v>
      </c>
      <c r="D23" s="3">
        <v>169</v>
      </c>
      <c r="E23" s="3">
        <v>179</v>
      </c>
      <c r="F23" s="3">
        <v>139</v>
      </c>
      <c r="G23" s="3">
        <f t="shared" si="0"/>
        <v>618</v>
      </c>
      <c r="H23" s="3"/>
      <c r="I23" s="3" t="s">
        <v>12</v>
      </c>
      <c r="J23" s="3">
        <f>175+185+150+175</f>
        <v>685</v>
      </c>
      <c r="K23" s="3"/>
      <c r="L23" s="3"/>
      <c r="M23" s="3"/>
    </row>
    <row r="24" spans="1:13" x14ac:dyDescent="0.25">
      <c r="A24" s="3" t="s">
        <v>46</v>
      </c>
      <c r="B24" s="3"/>
      <c r="C24" s="3"/>
      <c r="D24" s="3"/>
      <c r="E24" s="3"/>
      <c r="F24" s="3"/>
      <c r="G24" s="3">
        <f t="shared" si="0"/>
        <v>0</v>
      </c>
      <c r="H24" s="3"/>
      <c r="I24" s="3" t="s">
        <v>13</v>
      </c>
      <c r="J24" s="3">
        <f>205+183+124+138</f>
        <v>650</v>
      </c>
      <c r="K24" s="3"/>
      <c r="L24" s="3"/>
      <c r="M24" s="3"/>
    </row>
    <row r="25" spans="1:13" x14ac:dyDescent="0.25">
      <c r="A25" s="3" t="s">
        <v>46</v>
      </c>
      <c r="B25" s="3"/>
      <c r="C25" s="3"/>
      <c r="D25" s="3"/>
      <c r="E25" s="3"/>
      <c r="F25" s="3"/>
      <c r="G25" s="3">
        <f t="shared" si="0"/>
        <v>0</v>
      </c>
      <c r="H25" s="3"/>
      <c r="I25" s="3" t="s">
        <v>175</v>
      </c>
      <c r="J25" s="3">
        <f>150+145+160+137</f>
        <v>592</v>
      </c>
      <c r="K25" s="3"/>
      <c r="L25" s="3"/>
      <c r="M25" s="3"/>
    </row>
    <row r="26" spans="1:13" x14ac:dyDescent="0.25">
      <c r="A26" s="2" t="s">
        <v>47</v>
      </c>
      <c r="B26" s="2" t="s">
        <v>59</v>
      </c>
      <c r="C26" s="2">
        <v>141</v>
      </c>
      <c r="D26" s="2">
        <v>139</v>
      </c>
      <c r="E26" s="2">
        <v>110</v>
      </c>
      <c r="F26" s="2">
        <v>128</v>
      </c>
      <c r="G26" s="2">
        <f t="shared" si="0"/>
        <v>518</v>
      </c>
      <c r="H26" s="2"/>
      <c r="I26" s="2" t="s">
        <v>0</v>
      </c>
      <c r="J26" s="2">
        <f>SUM(C26:C33)</f>
        <v>696</v>
      </c>
      <c r="K26" s="2"/>
      <c r="L26" s="2" t="str">
        <f>A26</f>
        <v>Huntington - JV2</v>
      </c>
      <c r="M26" s="2">
        <f>SUM(J26:J33)</f>
        <v>5153</v>
      </c>
    </row>
    <row r="27" spans="1:13" x14ac:dyDescent="0.25">
      <c r="A27" s="2" t="s">
        <v>47</v>
      </c>
      <c r="B27" s="2" t="s">
        <v>60</v>
      </c>
      <c r="C27" s="2">
        <v>148</v>
      </c>
      <c r="D27" s="2">
        <v>206</v>
      </c>
      <c r="E27" s="2">
        <v>108</v>
      </c>
      <c r="F27" s="2">
        <v>168</v>
      </c>
      <c r="G27" s="2">
        <f t="shared" si="0"/>
        <v>630</v>
      </c>
      <c r="H27" s="2"/>
      <c r="I27" s="2" t="s">
        <v>1</v>
      </c>
      <c r="J27" s="2">
        <f>SUM(D26:D33)</f>
        <v>764</v>
      </c>
      <c r="K27" s="2"/>
      <c r="L27" s="2"/>
      <c r="M27" s="2"/>
    </row>
    <row r="28" spans="1:13" x14ac:dyDescent="0.25">
      <c r="A28" s="2" t="s">
        <v>47</v>
      </c>
      <c r="B28" s="2" t="s">
        <v>61</v>
      </c>
      <c r="C28" s="2">
        <v>114</v>
      </c>
      <c r="D28" s="2"/>
      <c r="E28" s="2"/>
      <c r="F28" s="2">
        <v>138</v>
      </c>
      <c r="G28" s="2">
        <f t="shared" si="0"/>
        <v>252</v>
      </c>
      <c r="H28" s="2"/>
      <c r="I28" s="2" t="s">
        <v>2</v>
      </c>
      <c r="J28" s="2">
        <f>SUM(E26:E33)</f>
        <v>585</v>
      </c>
      <c r="K28" s="2"/>
      <c r="L28" s="2"/>
      <c r="M28" s="2"/>
    </row>
    <row r="29" spans="1:13" x14ac:dyDescent="0.25">
      <c r="A29" s="2" t="s">
        <v>47</v>
      </c>
      <c r="B29" s="2" t="s">
        <v>62</v>
      </c>
      <c r="C29" s="2"/>
      <c r="D29" s="2">
        <v>134</v>
      </c>
      <c r="E29" s="2">
        <v>162</v>
      </c>
      <c r="F29" s="2">
        <v>174</v>
      </c>
      <c r="G29" s="2">
        <f t="shared" si="0"/>
        <v>470</v>
      </c>
      <c r="H29" s="2"/>
      <c r="I29" s="2" t="s">
        <v>4</v>
      </c>
      <c r="J29" s="2">
        <f>SUM(F26:F33)</f>
        <v>709</v>
      </c>
      <c r="K29" s="2"/>
      <c r="L29" s="2"/>
      <c r="M29" s="2"/>
    </row>
    <row r="30" spans="1:13" x14ac:dyDescent="0.25">
      <c r="A30" s="2" t="s">
        <v>47</v>
      </c>
      <c r="B30" s="2" t="s">
        <v>63</v>
      </c>
      <c r="C30" s="2">
        <v>123</v>
      </c>
      <c r="D30" s="2">
        <v>128</v>
      </c>
      <c r="E30" s="2">
        <v>108</v>
      </c>
      <c r="F30" s="2">
        <v>101</v>
      </c>
      <c r="G30" s="2">
        <f t="shared" si="0"/>
        <v>460</v>
      </c>
      <c r="H30" s="2"/>
      <c r="I30" s="2" t="s">
        <v>11</v>
      </c>
      <c r="J30" s="2">
        <f>147+148+118+154</f>
        <v>567</v>
      </c>
      <c r="K30" s="2"/>
      <c r="L30" s="2"/>
      <c r="M30" s="2"/>
    </row>
    <row r="31" spans="1:13" x14ac:dyDescent="0.25">
      <c r="A31" s="2" t="s">
        <v>47</v>
      </c>
      <c r="B31" s="2" t="s">
        <v>64</v>
      </c>
      <c r="C31" s="2">
        <v>170</v>
      </c>
      <c r="D31" s="2">
        <v>157</v>
      </c>
      <c r="E31" s="2">
        <v>97</v>
      </c>
      <c r="F31" s="2"/>
      <c r="G31" s="2">
        <f t="shared" si="0"/>
        <v>424</v>
      </c>
      <c r="H31" s="2"/>
      <c r="I31" s="2" t="s">
        <v>12</v>
      </c>
      <c r="J31" s="2">
        <f>127+242+170+113</f>
        <v>652</v>
      </c>
      <c r="K31" s="2"/>
      <c r="L31" s="2"/>
      <c r="M31" s="2"/>
    </row>
    <row r="32" spans="1:13" x14ac:dyDescent="0.25">
      <c r="A32" s="2" t="s">
        <v>47</v>
      </c>
      <c r="B32" s="2"/>
      <c r="C32" s="2"/>
      <c r="D32" s="2"/>
      <c r="E32" s="2"/>
      <c r="F32" s="2"/>
      <c r="G32" s="2">
        <f t="shared" si="0"/>
        <v>0</v>
      </c>
      <c r="H32" s="2"/>
      <c r="I32" s="2" t="s">
        <v>13</v>
      </c>
      <c r="J32" s="2">
        <f>152+159+135+141</f>
        <v>587</v>
      </c>
      <c r="K32" s="2"/>
      <c r="L32" s="2"/>
      <c r="M32" s="2"/>
    </row>
    <row r="33" spans="1:13" x14ac:dyDescent="0.25">
      <c r="A33" s="2" t="s">
        <v>47</v>
      </c>
      <c r="B33" s="2"/>
      <c r="C33" s="2"/>
      <c r="D33" s="2"/>
      <c r="E33" s="2"/>
      <c r="F33" s="2"/>
      <c r="G33" s="2">
        <f t="shared" si="0"/>
        <v>0</v>
      </c>
      <c r="H33" s="2"/>
      <c r="I33" s="2" t="s">
        <v>175</v>
      </c>
      <c r="J33" s="2">
        <f>148+149+141+155</f>
        <v>593</v>
      </c>
      <c r="K33" s="2"/>
      <c r="L33" s="2"/>
      <c r="M33" s="2"/>
    </row>
    <row r="34" spans="1:13" x14ac:dyDescent="0.25">
      <c r="A34" s="3" t="s">
        <v>34</v>
      </c>
      <c r="B34" s="3" t="s">
        <v>48</v>
      </c>
      <c r="C34" s="3">
        <v>146</v>
      </c>
      <c r="D34" s="3">
        <v>182</v>
      </c>
      <c r="E34" s="3">
        <v>187</v>
      </c>
      <c r="F34" s="3">
        <v>145</v>
      </c>
      <c r="G34" s="3">
        <f t="shared" ref="G34:G65" si="1">SUM(C34:F34)</f>
        <v>660</v>
      </c>
      <c r="H34" s="3"/>
      <c r="I34" s="3" t="s">
        <v>0</v>
      </c>
      <c r="J34" s="3">
        <f>SUM(C34:C41)</f>
        <v>783</v>
      </c>
      <c r="K34" s="3"/>
      <c r="L34" s="3" t="str">
        <f>A34</f>
        <v>Huntington - Varsity</v>
      </c>
      <c r="M34" s="3">
        <f>SUM(J34:J41)</f>
        <v>5845</v>
      </c>
    </row>
    <row r="35" spans="1:13" x14ac:dyDescent="0.25">
      <c r="A35" s="3" t="s">
        <v>34</v>
      </c>
      <c r="B35" s="3" t="s">
        <v>49</v>
      </c>
      <c r="C35" s="3"/>
      <c r="D35" s="3">
        <v>183</v>
      </c>
      <c r="E35" s="3">
        <v>168</v>
      </c>
      <c r="F35" s="3">
        <v>167</v>
      </c>
      <c r="G35" s="3">
        <f t="shared" si="1"/>
        <v>518</v>
      </c>
      <c r="H35" s="3"/>
      <c r="I35" s="3" t="s">
        <v>1</v>
      </c>
      <c r="J35" s="3">
        <f>SUM(D34:D41)</f>
        <v>847</v>
      </c>
      <c r="K35" s="3"/>
      <c r="L35" s="3"/>
      <c r="M35" s="3"/>
    </row>
    <row r="36" spans="1:13" x14ac:dyDescent="0.25">
      <c r="A36" s="3" t="s">
        <v>34</v>
      </c>
      <c r="B36" s="3" t="s">
        <v>50</v>
      </c>
      <c r="C36" s="3">
        <v>147</v>
      </c>
      <c r="D36" s="3"/>
      <c r="E36" s="3">
        <v>181</v>
      </c>
      <c r="F36" s="3">
        <v>164</v>
      </c>
      <c r="G36" s="3">
        <f t="shared" si="1"/>
        <v>492</v>
      </c>
      <c r="H36" s="3"/>
      <c r="I36" s="3" t="s">
        <v>2</v>
      </c>
      <c r="J36" s="3">
        <f>SUM(E34:E41)</f>
        <v>863</v>
      </c>
      <c r="K36" s="3"/>
      <c r="L36" s="3"/>
      <c r="M36" s="3"/>
    </row>
    <row r="37" spans="1:13" x14ac:dyDescent="0.25">
      <c r="A37" s="3" t="s">
        <v>34</v>
      </c>
      <c r="B37" s="3" t="s">
        <v>51</v>
      </c>
      <c r="C37" s="3">
        <v>156</v>
      </c>
      <c r="D37" s="3">
        <v>157</v>
      </c>
      <c r="E37" s="3">
        <v>157</v>
      </c>
      <c r="F37" s="3">
        <v>130</v>
      </c>
      <c r="G37" s="3">
        <f t="shared" si="1"/>
        <v>600</v>
      </c>
      <c r="H37" s="3"/>
      <c r="I37" s="3" t="s">
        <v>4</v>
      </c>
      <c r="J37" s="3">
        <f>SUM(F34:F41)</f>
        <v>762</v>
      </c>
      <c r="K37" s="3"/>
      <c r="L37" s="3"/>
      <c r="M37" s="3"/>
    </row>
    <row r="38" spans="1:13" x14ac:dyDescent="0.25">
      <c r="A38" s="3" t="s">
        <v>34</v>
      </c>
      <c r="B38" s="3" t="s">
        <v>52</v>
      </c>
      <c r="C38" s="3">
        <v>191</v>
      </c>
      <c r="D38" s="3">
        <v>179</v>
      </c>
      <c r="E38" s="3">
        <v>170</v>
      </c>
      <c r="F38" s="3">
        <v>156</v>
      </c>
      <c r="G38" s="3">
        <f t="shared" si="1"/>
        <v>696</v>
      </c>
      <c r="H38" s="3"/>
      <c r="I38" s="3" t="s">
        <v>11</v>
      </c>
      <c r="J38" s="3">
        <f>171+199+138+117</f>
        <v>625</v>
      </c>
      <c r="K38" s="3"/>
      <c r="L38" s="3"/>
      <c r="M38" s="3"/>
    </row>
    <row r="39" spans="1:13" x14ac:dyDescent="0.25">
      <c r="A39" s="3" t="s">
        <v>34</v>
      </c>
      <c r="B39" s="3" t="s">
        <v>53</v>
      </c>
      <c r="C39" s="3"/>
      <c r="D39" s="3">
        <v>146</v>
      </c>
      <c r="E39" s="3"/>
      <c r="F39" s="3"/>
      <c r="G39" s="3">
        <f t="shared" si="1"/>
        <v>146</v>
      </c>
      <c r="H39" s="3"/>
      <c r="I39" s="3" t="s">
        <v>12</v>
      </c>
      <c r="J39" s="3">
        <f>151+189+125+142</f>
        <v>607</v>
      </c>
      <c r="K39" s="3"/>
      <c r="L39" s="3"/>
      <c r="M39" s="3"/>
    </row>
    <row r="40" spans="1:13" x14ac:dyDescent="0.25">
      <c r="A40" s="3" t="s">
        <v>34</v>
      </c>
      <c r="B40" s="3" t="s">
        <v>179</v>
      </c>
      <c r="C40" s="3">
        <v>143</v>
      </c>
      <c r="D40" s="3"/>
      <c r="E40" s="3"/>
      <c r="F40" s="3"/>
      <c r="G40" s="3">
        <f t="shared" si="1"/>
        <v>143</v>
      </c>
      <c r="H40" s="3"/>
      <c r="I40" s="3" t="s">
        <v>13</v>
      </c>
      <c r="J40" s="3">
        <f>194+139+192+132</f>
        <v>657</v>
      </c>
      <c r="K40" s="3"/>
      <c r="L40" s="3"/>
      <c r="M40" s="3"/>
    </row>
    <row r="41" spans="1:13" x14ac:dyDescent="0.25">
      <c r="A41" s="3" t="s">
        <v>34</v>
      </c>
      <c r="B41" s="3"/>
      <c r="C41" s="3"/>
      <c r="D41" s="3"/>
      <c r="E41" s="3"/>
      <c r="F41" s="3"/>
      <c r="G41" s="3">
        <f t="shared" si="1"/>
        <v>0</v>
      </c>
      <c r="H41" s="3"/>
      <c r="I41" s="3" t="s">
        <v>175</v>
      </c>
      <c r="J41" s="3">
        <f>155+147+217+182</f>
        <v>701</v>
      </c>
      <c r="K41" s="3"/>
      <c r="L41" s="3"/>
      <c r="M41" s="3"/>
    </row>
    <row r="42" spans="1:13" x14ac:dyDescent="0.25">
      <c r="A42" s="2" t="s">
        <v>135</v>
      </c>
      <c r="B42" s="2" t="s">
        <v>143</v>
      </c>
      <c r="C42" s="2">
        <v>211</v>
      </c>
      <c r="D42" s="2">
        <v>178</v>
      </c>
      <c r="E42" s="2">
        <v>170</v>
      </c>
      <c r="F42" s="2">
        <v>173</v>
      </c>
      <c r="G42" s="2">
        <f t="shared" si="1"/>
        <v>732</v>
      </c>
      <c r="H42" s="2"/>
      <c r="I42" s="2" t="s">
        <v>0</v>
      </c>
      <c r="J42" s="2">
        <f>SUM(C42:C49)</f>
        <v>784</v>
      </c>
      <c r="K42" s="2"/>
      <c r="L42" s="2" t="str">
        <f>A42</f>
        <v>Lincoln College - Varsity</v>
      </c>
      <c r="M42" s="2">
        <f>SUM(J42:J49)</f>
        <v>5802</v>
      </c>
    </row>
    <row r="43" spans="1:13" x14ac:dyDescent="0.25">
      <c r="A43" s="2" t="s">
        <v>135</v>
      </c>
      <c r="B43" s="2" t="s">
        <v>144</v>
      </c>
      <c r="C43" s="2">
        <v>150</v>
      </c>
      <c r="D43" s="2">
        <v>156</v>
      </c>
      <c r="E43" s="2">
        <v>159</v>
      </c>
      <c r="F43" s="2">
        <v>117</v>
      </c>
      <c r="G43" s="2">
        <f t="shared" si="1"/>
        <v>582</v>
      </c>
      <c r="H43" s="2"/>
      <c r="I43" s="2" t="s">
        <v>1</v>
      </c>
      <c r="J43" s="2">
        <f>SUM(D42:D49)</f>
        <v>869</v>
      </c>
      <c r="K43" s="2"/>
      <c r="L43" s="2"/>
      <c r="M43" s="2"/>
    </row>
    <row r="44" spans="1:13" x14ac:dyDescent="0.25">
      <c r="A44" s="2" t="s">
        <v>135</v>
      </c>
      <c r="B44" s="2" t="s">
        <v>145</v>
      </c>
      <c r="C44" s="2">
        <v>124</v>
      </c>
      <c r="D44" s="2">
        <v>181</v>
      </c>
      <c r="E44" s="2">
        <v>195</v>
      </c>
      <c r="F44" s="2">
        <v>140</v>
      </c>
      <c r="G44" s="2">
        <f t="shared" si="1"/>
        <v>640</v>
      </c>
      <c r="H44" s="2"/>
      <c r="I44" s="2" t="s">
        <v>2</v>
      </c>
      <c r="J44" s="2">
        <f>SUM(E42:E49)</f>
        <v>831</v>
      </c>
      <c r="K44" s="2"/>
      <c r="L44" s="2"/>
      <c r="M44" s="2"/>
    </row>
    <row r="45" spans="1:13" x14ac:dyDescent="0.25">
      <c r="A45" s="2" t="s">
        <v>135</v>
      </c>
      <c r="B45" s="2" t="s">
        <v>146</v>
      </c>
      <c r="C45" s="2">
        <v>169</v>
      </c>
      <c r="D45" s="2">
        <v>171</v>
      </c>
      <c r="E45" s="2">
        <v>188</v>
      </c>
      <c r="F45" s="2">
        <v>174</v>
      </c>
      <c r="G45" s="2">
        <f t="shared" si="1"/>
        <v>702</v>
      </c>
      <c r="H45" s="2"/>
      <c r="I45" s="2" t="s">
        <v>4</v>
      </c>
      <c r="J45" s="2">
        <f>SUM(F42:F49)</f>
        <v>776</v>
      </c>
      <c r="K45" s="2"/>
      <c r="L45" s="2"/>
      <c r="M45" s="2"/>
    </row>
    <row r="46" spans="1:13" x14ac:dyDescent="0.25">
      <c r="A46" s="2" t="s">
        <v>135</v>
      </c>
      <c r="B46" s="2" t="s">
        <v>147</v>
      </c>
      <c r="C46" s="2">
        <v>130</v>
      </c>
      <c r="D46" s="2">
        <v>183</v>
      </c>
      <c r="E46" s="2">
        <v>119</v>
      </c>
      <c r="F46" s="2"/>
      <c r="G46" s="2">
        <f t="shared" si="1"/>
        <v>432</v>
      </c>
      <c r="H46" s="2"/>
      <c r="I46" s="2" t="s">
        <v>11</v>
      </c>
      <c r="J46" s="2">
        <f>144+160+125+143</f>
        <v>572</v>
      </c>
      <c r="K46" s="2"/>
      <c r="L46" s="2"/>
      <c r="M46" s="2"/>
    </row>
    <row r="47" spans="1:13" x14ac:dyDescent="0.25">
      <c r="A47" s="2" t="s">
        <v>135</v>
      </c>
      <c r="B47" s="2" t="s">
        <v>148</v>
      </c>
      <c r="C47" s="2"/>
      <c r="D47" s="2"/>
      <c r="E47" s="2"/>
      <c r="F47" s="2">
        <v>172</v>
      </c>
      <c r="G47" s="2">
        <f t="shared" si="1"/>
        <v>172</v>
      </c>
      <c r="H47" s="2"/>
      <c r="I47" s="2" t="s">
        <v>12</v>
      </c>
      <c r="J47" s="2">
        <f>168+151+179+160</f>
        <v>658</v>
      </c>
      <c r="K47" s="2"/>
      <c r="L47" s="2"/>
      <c r="M47" s="2"/>
    </row>
    <row r="48" spans="1:13" x14ac:dyDescent="0.25">
      <c r="A48" s="2" t="s">
        <v>135</v>
      </c>
      <c r="B48" s="2"/>
      <c r="C48" s="2"/>
      <c r="D48" s="2"/>
      <c r="E48" s="2"/>
      <c r="F48" s="2"/>
      <c r="G48" s="2">
        <f t="shared" si="1"/>
        <v>0</v>
      </c>
      <c r="H48" s="2"/>
      <c r="I48" s="2" t="s">
        <v>13</v>
      </c>
      <c r="J48" s="2">
        <f>157+228+132+142</f>
        <v>659</v>
      </c>
      <c r="K48" s="2"/>
      <c r="L48" s="2"/>
      <c r="M48" s="2"/>
    </row>
    <row r="49" spans="1:13" x14ac:dyDescent="0.25">
      <c r="A49" s="2" t="s">
        <v>135</v>
      </c>
      <c r="B49" s="2"/>
      <c r="C49" s="2"/>
      <c r="D49" s="2"/>
      <c r="E49" s="2"/>
      <c r="F49" s="2"/>
      <c r="G49" s="2">
        <f t="shared" si="1"/>
        <v>0</v>
      </c>
      <c r="H49" s="2"/>
      <c r="I49" s="2" t="s">
        <v>175</v>
      </c>
      <c r="J49" s="2">
        <f>148+173+153+179</f>
        <v>653</v>
      </c>
      <c r="K49" s="2"/>
      <c r="L49" s="2"/>
      <c r="M49" s="2"/>
    </row>
    <row r="50" spans="1:13" x14ac:dyDescent="0.25">
      <c r="A50" s="3" t="s">
        <v>158</v>
      </c>
      <c r="B50" s="3" t="s">
        <v>159</v>
      </c>
      <c r="C50" s="3">
        <v>135</v>
      </c>
      <c r="D50" s="3"/>
      <c r="E50" s="3"/>
      <c r="F50" s="3">
        <v>127</v>
      </c>
      <c r="G50" s="3">
        <f t="shared" si="1"/>
        <v>262</v>
      </c>
      <c r="H50" s="3"/>
      <c r="I50" s="3" t="s">
        <v>0</v>
      </c>
      <c r="J50" s="3">
        <f>SUM(C50:C57)</f>
        <v>757</v>
      </c>
      <c r="K50" s="3"/>
      <c r="L50" s="3" t="str">
        <f>A50</f>
        <v>Lourdes University - JV</v>
      </c>
      <c r="M50" s="3">
        <f>SUM(J50:J57)</f>
        <v>5878</v>
      </c>
    </row>
    <row r="51" spans="1:13" x14ac:dyDescent="0.25">
      <c r="A51" s="3" t="s">
        <v>158</v>
      </c>
      <c r="B51" s="3" t="s">
        <v>160</v>
      </c>
      <c r="C51" s="3">
        <v>131</v>
      </c>
      <c r="D51" s="3"/>
      <c r="E51" s="3"/>
      <c r="F51" s="3">
        <v>202</v>
      </c>
      <c r="G51" s="3">
        <f t="shared" si="1"/>
        <v>333</v>
      </c>
      <c r="H51" s="3"/>
      <c r="I51" s="3" t="s">
        <v>1</v>
      </c>
      <c r="J51" s="3">
        <f>SUM(D50:D57)</f>
        <v>766</v>
      </c>
      <c r="K51" s="3"/>
      <c r="L51" s="3"/>
      <c r="M51" s="3"/>
    </row>
    <row r="52" spans="1:13" x14ac:dyDescent="0.25">
      <c r="A52" s="3" t="s">
        <v>158</v>
      </c>
      <c r="B52" s="3" t="s">
        <v>161</v>
      </c>
      <c r="C52" s="3"/>
      <c r="D52" s="3">
        <v>148</v>
      </c>
      <c r="E52" s="3">
        <v>146</v>
      </c>
      <c r="F52" s="3"/>
      <c r="G52" s="3">
        <f t="shared" si="1"/>
        <v>294</v>
      </c>
      <c r="H52" s="3"/>
      <c r="I52" s="3" t="s">
        <v>2</v>
      </c>
      <c r="J52" s="3">
        <f>SUM(E50:E57)</f>
        <v>775</v>
      </c>
      <c r="K52" s="3"/>
      <c r="L52" s="3"/>
      <c r="M52" s="3"/>
    </row>
    <row r="53" spans="1:13" x14ac:dyDescent="0.25">
      <c r="A53" s="3" t="s">
        <v>158</v>
      </c>
      <c r="B53" s="3" t="s">
        <v>157</v>
      </c>
      <c r="C53" s="3">
        <v>161</v>
      </c>
      <c r="D53" s="3">
        <v>183</v>
      </c>
      <c r="E53" s="3">
        <v>154</v>
      </c>
      <c r="F53" s="3">
        <v>178</v>
      </c>
      <c r="G53" s="3">
        <f t="shared" si="1"/>
        <v>676</v>
      </c>
      <c r="H53" s="3"/>
      <c r="I53" s="3" t="s">
        <v>4</v>
      </c>
      <c r="J53" s="3">
        <f>SUM(F50:F57)</f>
        <v>860</v>
      </c>
      <c r="K53" s="3"/>
      <c r="L53" s="3"/>
      <c r="M53" s="3"/>
    </row>
    <row r="54" spans="1:13" x14ac:dyDescent="0.25">
      <c r="A54" s="3" t="s">
        <v>158</v>
      </c>
      <c r="B54" s="3" t="s">
        <v>163</v>
      </c>
      <c r="C54" s="3">
        <v>157</v>
      </c>
      <c r="D54" s="3">
        <v>122</v>
      </c>
      <c r="E54" s="3">
        <v>147</v>
      </c>
      <c r="F54" s="3"/>
      <c r="G54" s="3">
        <f t="shared" si="1"/>
        <v>426</v>
      </c>
      <c r="H54" s="3"/>
      <c r="I54" s="3" t="s">
        <v>11</v>
      </c>
      <c r="J54" s="3">
        <f>144+161+166+169</f>
        <v>640</v>
      </c>
      <c r="K54" s="3"/>
      <c r="L54" s="3"/>
      <c r="M54" s="3"/>
    </row>
    <row r="55" spans="1:13" x14ac:dyDescent="0.25">
      <c r="A55" s="3" t="s">
        <v>158</v>
      </c>
      <c r="B55" s="3" t="s">
        <v>164</v>
      </c>
      <c r="C55" s="3"/>
      <c r="D55" s="3">
        <v>145</v>
      </c>
      <c r="E55" s="3">
        <v>162</v>
      </c>
      <c r="F55" s="3">
        <v>173</v>
      </c>
      <c r="G55" s="3">
        <f t="shared" si="1"/>
        <v>480</v>
      </c>
      <c r="H55" s="3"/>
      <c r="I55" s="3" t="s">
        <v>12</v>
      </c>
      <c r="J55" s="3">
        <f>239+136+174+200</f>
        <v>749</v>
      </c>
      <c r="K55" s="3"/>
      <c r="L55" s="3"/>
      <c r="M55" s="3"/>
    </row>
    <row r="56" spans="1:13" x14ac:dyDescent="0.25">
      <c r="A56" s="3" t="s">
        <v>158</v>
      </c>
      <c r="B56" s="3" t="s">
        <v>165</v>
      </c>
      <c r="C56" s="3">
        <v>173</v>
      </c>
      <c r="D56" s="3">
        <v>168</v>
      </c>
      <c r="E56" s="3">
        <v>166</v>
      </c>
      <c r="F56" s="3">
        <v>180</v>
      </c>
      <c r="G56" s="3">
        <f t="shared" si="1"/>
        <v>687</v>
      </c>
      <c r="H56" s="3"/>
      <c r="I56" s="3" t="s">
        <v>13</v>
      </c>
      <c r="J56" s="3">
        <f>158+164+149+176</f>
        <v>647</v>
      </c>
      <c r="K56" s="3"/>
      <c r="L56" s="3"/>
      <c r="M56" s="3"/>
    </row>
    <row r="57" spans="1:13" x14ac:dyDescent="0.25">
      <c r="A57" s="3" t="s">
        <v>158</v>
      </c>
      <c r="B57" s="3"/>
      <c r="C57" s="3"/>
      <c r="D57" s="3"/>
      <c r="E57" s="3"/>
      <c r="F57" s="3"/>
      <c r="G57" s="3">
        <f t="shared" si="1"/>
        <v>0</v>
      </c>
      <c r="H57" s="3"/>
      <c r="I57" s="3" t="s">
        <v>175</v>
      </c>
      <c r="J57" s="3">
        <f>150+165+193+176</f>
        <v>684</v>
      </c>
      <c r="K57" s="3"/>
      <c r="L57" s="3"/>
      <c r="M57" s="3"/>
    </row>
    <row r="58" spans="1:13" x14ac:dyDescent="0.25">
      <c r="A58" s="2" t="s">
        <v>149</v>
      </c>
      <c r="B58" s="2" t="s">
        <v>150</v>
      </c>
      <c r="C58" s="2">
        <v>190</v>
      </c>
      <c r="D58" s="2">
        <v>168</v>
      </c>
      <c r="E58" s="2">
        <v>202</v>
      </c>
      <c r="F58" s="2">
        <v>160</v>
      </c>
      <c r="G58" s="2">
        <f t="shared" si="1"/>
        <v>720</v>
      </c>
      <c r="H58" s="2"/>
      <c r="I58" s="2" t="s">
        <v>0</v>
      </c>
      <c r="J58" s="2">
        <f>SUM(C58:C65)</f>
        <v>799</v>
      </c>
      <c r="K58" s="2"/>
      <c r="L58" s="2" t="str">
        <f>A58</f>
        <v>Lourdes University - Varsity</v>
      </c>
      <c r="M58" s="2">
        <f>SUM(J58:J65)</f>
        <v>6053</v>
      </c>
    </row>
    <row r="59" spans="1:13" x14ac:dyDescent="0.25">
      <c r="A59" s="2" t="s">
        <v>149</v>
      </c>
      <c r="B59" s="2" t="s">
        <v>151</v>
      </c>
      <c r="C59" s="2">
        <v>169</v>
      </c>
      <c r="D59" s="2">
        <v>161</v>
      </c>
      <c r="E59" s="2">
        <v>159</v>
      </c>
      <c r="F59" s="2">
        <v>162</v>
      </c>
      <c r="G59" s="2">
        <f t="shared" si="1"/>
        <v>651</v>
      </c>
      <c r="H59" s="2"/>
      <c r="I59" s="2" t="s">
        <v>1</v>
      </c>
      <c r="J59" s="2">
        <f>SUM(D58:D65)</f>
        <v>858</v>
      </c>
      <c r="K59" s="2"/>
      <c r="L59" s="2"/>
      <c r="M59" s="2"/>
    </row>
    <row r="60" spans="1:13" x14ac:dyDescent="0.25">
      <c r="A60" s="2" t="s">
        <v>149</v>
      </c>
      <c r="B60" s="2" t="s">
        <v>152</v>
      </c>
      <c r="C60" s="2">
        <v>152</v>
      </c>
      <c r="D60" s="2">
        <v>156</v>
      </c>
      <c r="E60" s="2">
        <v>154</v>
      </c>
      <c r="F60" s="2"/>
      <c r="G60" s="2">
        <f t="shared" si="1"/>
        <v>462</v>
      </c>
      <c r="H60" s="2"/>
      <c r="I60" s="2" t="s">
        <v>2</v>
      </c>
      <c r="J60" s="2">
        <f>SUM(E58:E65)</f>
        <v>884</v>
      </c>
      <c r="K60" s="2"/>
      <c r="L60" s="2"/>
      <c r="M60" s="2"/>
    </row>
    <row r="61" spans="1:13" x14ac:dyDescent="0.25">
      <c r="A61" s="2" t="s">
        <v>149</v>
      </c>
      <c r="B61" s="2" t="s">
        <v>153</v>
      </c>
      <c r="C61" s="2">
        <v>143</v>
      </c>
      <c r="D61" s="2">
        <v>182</v>
      </c>
      <c r="E61" s="2">
        <v>170</v>
      </c>
      <c r="F61" s="2">
        <v>204</v>
      </c>
      <c r="G61" s="2">
        <f t="shared" si="1"/>
        <v>699</v>
      </c>
      <c r="H61" s="2"/>
      <c r="I61" s="2" t="s">
        <v>4</v>
      </c>
      <c r="J61" s="2">
        <f>SUM(F58:F65)</f>
        <v>861</v>
      </c>
      <c r="K61" s="2"/>
      <c r="L61" s="2"/>
      <c r="M61" s="2"/>
    </row>
    <row r="62" spans="1:13" x14ac:dyDescent="0.25">
      <c r="A62" s="2" t="s">
        <v>149</v>
      </c>
      <c r="B62" s="2" t="s">
        <v>154</v>
      </c>
      <c r="C62" s="2">
        <v>145</v>
      </c>
      <c r="D62" s="2">
        <v>191</v>
      </c>
      <c r="E62" s="2">
        <v>199</v>
      </c>
      <c r="F62" s="2">
        <v>172</v>
      </c>
      <c r="G62" s="2">
        <f t="shared" si="1"/>
        <v>707</v>
      </c>
      <c r="H62" s="2"/>
      <c r="I62" s="2" t="s">
        <v>11</v>
      </c>
      <c r="J62" s="2">
        <f>178+170+177+201</f>
        <v>726</v>
      </c>
      <c r="K62" s="2"/>
      <c r="L62" s="2"/>
      <c r="M62" s="2"/>
    </row>
    <row r="63" spans="1:13" x14ac:dyDescent="0.25">
      <c r="A63" s="2" t="s">
        <v>149</v>
      </c>
      <c r="B63" s="2" t="s">
        <v>155</v>
      </c>
      <c r="C63" s="2"/>
      <c r="D63" s="2"/>
      <c r="E63" s="2"/>
      <c r="F63" s="2"/>
      <c r="G63" s="2">
        <f t="shared" si="1"/>
        <v>0</v>
      </c>
      <c r="H63" s="2"/>
      <c r="I63" s="2" t="s">
        <v>12</v>
      </c>
      <c r="J63" s="2">
        <f>184+171+154+176</f>
        <v>685</v>
      </c>
      <c r="K63" s="2"/>
      <c r="L63" s="2"/>
      <c r="M63" s="2"/>
    </row>
    <row r="64" spans="1:13" x14ac:dyDescent="0.25">
      <c r="A64" s="2" t="s">
        <v>149</v>
      </c>
      <c r="B64" s="2" t="s">
        <v>156</v>
      </c>
      <c r="C64" s="2"/>
      <c r="D64" s="2"/>
      <c r="E64" s="2"/>
      <c r="F64" s="2"/>
      <c r="G64" s="2">
        <f t="shared" si="1"/>
        <v>0</v>
      </c>
      <c r="H64" s="2"/>
      <c r="I64" s="2" t="s">
        <v>13</v>
      </c>
      <c r="J64" s="2">
        <f>169+160+170+192</f>
        <v>691</v>
      </c>
      <c r="K64" s="2"/>
      <c r="L64" s="2"/>
      <c r="M64" s="2"/>
    </row>
    <row r="65" spans="1:13" x14ac:dyDescent="0.25">
      <c r="A65" s="2" t="s">
        <v>149</v>
      </c>
      <c r="B65" s="2" t="s">
        <v>162</v>
      </c>
      <c r="C65" s="2"/>
      <c r="D65" s="2"/>
      <c r="E65" s="2"/>
      <c r="F65" s="2">
        <v>163</v>
      </c>
      <c r="G65" s="2">
        <f t="shared" si="1"/>
        <v>163</v>
      </c>
      <c r="H65" s="2"/>
      <c r="I65" s="2" t="s">
        <v>175</v>
      </c>
      <c r="J65" s="2">
        <f>136+162+94+157</f>
        <v>549</v>
      </c>
      <c r="K65" s="2"/>
      <c r="L65" s="2"/>
      <c r="M65" s="2"/>
    </row>
    <row r="66" spans="1:13" x14ac:dyDescent="0.25">
      <c r="A66" s="3" t="s">
        <v>9</v>
      </c>
      <c r="B66" s="3" t="s">
        <v>14</v>
      </c>
      <c r="C66" s="3">
        <v>135</v>
      </c>
      <c r="D66" s="3"/>
      <c r="E66" s="3">
        <v>146</v>
      </c>
      <c r="F66" s="3"/>
      <c r="G66" s="3">
        <f t="shared" ref="G66:G97" si="2">SUM(C66:F66)</f>
        <v>281</v>
      </c>
      <c r="H66" s="3"/>
      <c r="I66" s="3" t="s">
        <v>0</v>
      </c>
      <c r="J66" s="3">
        <f>SUM(C66:C73)</f>
        <v>736</v>
      </c>
      <c r="K66" s="3"/>
      <c r="L66" s="3" t="str">
        <f>A66</f>
        <v>Midway - Varsity</v>
      </c>
      <c r="M66" s="3">
        <f>SUM(J66:J73)</f>
        <v>5660</v>
      </c>
    </row>
    <row r="67" spans="1:13" x14ac:dyDescent="0.25">
      <c r="A67" s="3" t="s">
        <v>9</v>
      </c>
      <c r="B67" s="3" t="s">
        <v>15</v>
      </c>
      <c r="C67" s="3">
        <v>173</v>
      </c>
      <c r="D67" s="3">
        <v>144</v>
      </c>
      <c r="E67" s="3"/>
      <c r="F67" s="3">
        <v>140</v>
      </c>
      <c r="G67" s="3">
        <f t="shared" si="2"/>
        <v>457</v>
      </c>
      <c r="H67" s="3"/>
      <c r="I67" s="3" t="s">
        <v>1</v>
      </c>
      <c r="J67" s="3">
        <f>SUM(D66:D73)</f>
        <v>741</v>
      </c>
      <c r="K67" s="3"/>
      <c r="L67" s="3"/>
      <c r="M67" s="3"/>
    </row>
    <row r="68" spans="1:13" x14ac:dyDescent="0.25">
      <c r="A68" s="3" t="s">
        <v>9</v>
      </c>
      <c r="B68" s="3" t="s">
        <v>16</v>
      </c>
      <c r="C68" s="3"/>
      <c r="D68" s="3">
        <v>156</v>
      </c>
      <c r="E68" s="3">
        <v>170</v>
      </c>
      <c r="F68" s="3">
        <v>164</v>
      </c>
      <c r="G68" s="3">
        <f t="shared" si="2"/>
        <v>490</v>
      </c>
      <c r="H68" s="3"/>
      <c r="I68" s="3" t="s">
        <v>2</v>
      </c>
      <c r="J68" s="3">
        <f>SUM(E66:E73)</f>
        <v>809</v>
      </c>
      <c r="K68" s="3"/>
      <c r="L68" s="3"/>
      <c r="M68" s="3"/>
    </row>
    <row r="69" spans="1:13" x14ac:dyDescent="0.25">
      <c r="A69" s="3" t="s">
        <v>9</v>
      </c>
      <c r="B69" s="3" t="s">
        <v>17</v>
      </c>
      <c r="C69" s="3"/>
      <c r="D69" s="3">
        <v>120</v>
      </c>
      <c r="E69" s="3"/>
      <c r="F69" s="3"/>
      <c r="G69" s="3">
        <f t="shared" si="2"/>
        <v>120</v>
      </c>
      <c r="H69" s="3"/>
      <c r="I69" s="3" t="s">
        <v>4</v>
      </c>
      <c r="J69" s="3">
        <f>SUM(F66:F73)</f>
        <v>779</v>
      </c>
      <c r="K69" s="3"/>
      <c r="L69" s="3"/>
      <c r="M69" s="3"/>
    </row>
    <row r="70" spans="1:13" x14ac:dyDescent="0.25">
      <c r="A70" s="3" t="s">
        <v>9</v>
      </c>
      <c r="B70" s="3" t="s">
        <v>18</v>
      </c>
      <c r="C70" s="3">
        <v>110</v>
      </c>
      <c r="D70" s="3"/>
      <c r="E70" s="3"/>
      <c r="F70" s="3">
        <v>168</v>
      </c>
      <c r="G70" s="3">
        <f t="shared" si="2"/>
        <v>278</v>
      </c>
      <c r="H70" s="3"/>
      <c r="I70" s="3" t="s">
        <v>11</v>
      </c>
      <c r="J70" s="3">
        <f>176+137+146+156</f>
        <v>615</v>
      </c>
      <c r="K70" s="3"/>
      <c r="L70" s="3"/>
      <c r="M70" s="3"/>
    </row>
    <row r="71" spans="1:13" x14ac:dyDescent="0.25">
      <c r="A71" s="3" t="s">
        <v>9</v>
      </c>
      <c r="B71" s="3" t="s">
        <v>19</v>
      </c>
      <c r="C71" s="3">
        <v>158</v>
      </c>
      <c r="D71" s="3">
        <v>155</v>
      </c>
      <c r="E71" s="3">
        <v>141</v>
      </c>
      <c r="F71" s="3"/>
      <c r="G71" s="3">
        <f t="shared" si="2"/>
        <v>454</v>
      </c>
      <c r="H71" s="3"/>
      <c r="I71" s="3" t="s">
        <v>12</v>
      </c>
      <c r="J71" s="3">
        <f>157+167+171+180</f>
        <v>675</v>
      </c>
      <c r="K71" s="3"/>
      <c r="L71" s="3"/>
      <c r="M71" s="3"/>
    </row>
    <row r="72" spans="1:13" x14ac:dyDescent="0.25">
      <c r="A72" s="3" t="s">
        <v>9</v>
      </c>
      <c r="B72" s="3" t="s">
        <v>20</v>
      </c>
      <c r="C72" s="3"/>
      <c r="D72" s="3"/>
      <c r="E72" s="3">
        <v>158</v>
      </c>
      <c r="F72" s="3">
        <v>133</v>
      </c>
      <c r="G72" s="3">
        <f t="shared" si="2"/>
        <v>291</v>
      </c>
      <c r="H72" s="3"/>
      <c r="I72" s="3" t="s">
        <v>13</v>
      </c>
      <c r="J72" s="3">
        <f>142+167+145+160</f>
        <v>614</v>
      </c>
      <c r="K72" s="3"/>
      <c r="L72" s="3"/>
      <c r="M72" s="3"/>
    </row>
    <row r="73" spans="1:13" x14ac:dyDescent="0.25">
      <c r="A73" s="3" t="s">
        <v>9</v>
      </c>
      <c r="B73" s="3" t="s">
        <v>21</v>
      </c>
      <c r="C73" s="3">
        <v>160</v>
      </c>
      <c r="D73" s="3">
        <v>166</v>
      </c>
      <c r="E73" s="3">
        <v>194</v>
      </c>
      <c r="F73" s="3">
        <v>174</v>
      </c>
      <c r="G73" s="3">
        <f t="shared" si="2"/>
        <v>694</v>
      </c>
      <c r="H73" s="3"/>
      <c r="I73" s="3" t="s">
        <v>175</v>
      </c>
      <c r="J73" s="3">
        <f>157+187+213+134</f>
        <v>691</v>
      </c>
      <c r="K73" s="3"/>
      <c r="L73" s="3"/>
      <c r="M73" s="3"/>
    </row>
    <row r="74" spans="1:13" x14ac:dyDescent="0.25">
      <c r="A74" s="2" t="s">
        <v>97</v>
      </c>
      <c r="B74" s="2" t="s">
        <v>106</v>
      </c>
      <c r="C74" s="2"/>
      <c r="D74" s="2"/>
      <c r="E74" s="2">
        <v>215</v>
      </c>
      <c r="F74" s="2">
        <v>152</v>
      </c>
      <c r="G74" s="2">
        <f t="shared" si="2"/>
        <v>367</v>
      </c>
      <c r="H74" s="2"/>
      <c r="I74" s="2" t="s">
        <v>0</v>
      </c>
      <c r="J74" s="2">
        <f>SUM(C74:C81)</f>
        <v>790</v>
      </c>
      <c r="K74" s="2"/>
      <c r="L74" s="2" t="str">
        <f>A74</f>
        <v>Missouri Baptist - Varsity</v>
      </c>
      <c r="M74" s="2">
        <f>SUM(J74:J81)</f>
        <v>5768</v>
      </c>
    </row>
    <row r="75" spans="1:13" x14ac:dyDescent="0.25">
      <c r="A75" s="2" t="s">
        <v>97</v>
      </c>
      <c r="B75" s="2" t="s">
        <v>107</v>
      </c>
      <c r="C75" s="2">
        <v>162</v>
      </c>
      <c r="D75" s="2">
        <v>132</v>
      </c>
      <c r="E75" s="2">
        <v>171</v>
      </c>
      <c r="F75" s="2">
        <v>142</v>
      </c>
      <c r="G75" s="2">
        <f t="shared" si="2"/>
        <v>607</v>
      </c>
      <c r="H75" s="2"/>
      <c r="I75" s="2" t="s">
        <v>1</v>
      </c>
      <c r="J75" s="2">
        <f>SUM(D74:D81)</f>
        <v>723</v>
      </c>
      <c r="K75" s="2"/>
      <c r="L75" s="2"/>
      <c r="M75" s="2"/>
    </row>
    <row r="76" spans="1:13" x14ac:dyDescent="0.25">
      <c r="A76" s="2" t="s">
        <v>97</v>
      </c>
      <c r="B76" s="2" t="s">
        <v>108</v>
      </c>
      <c r="C76" s="2">
        <v>141</v>
      </c>
      <c r="D76" s="2">
        <v>113</v>
      </c>
      <c r="E76" s="2"/>
      <c r="F76" s="2"/>
      <c r="G76" s="2">
        <f t="shared" si="2"/>
        <v>254</v>
      </c>
      <c r="H76" s="2"/>
      <c r="I76" s="2" t="s">
        <v>2</v>
      </c>
      <c r="J76" s="2">
        <f>SUM(E74:E81)</f>
        <v>840</v>
      </c>
      <c r="K76" s="2"/>
      <c r="L76" s="2"/>
      <c r="M76" s="2"/>
    </row>
    <row r="77" spans="1:13" x14ac:dyDescent="0.25">
      <c r="A77" s="2" t="s">
        <v>97</v>
      </c>
      <c r="B77" s="2" t="s">
        <v>109</v>
      </c>
      <c r="C77" s="2"/>
      <c r="D77" s="2"/>
      <c r="E77" s="2"/>
      <c r="F77" s="2"/>
      <c r="G77" s="2">
        <f t="shared" si="2"/>
        <v>0</v>
      </c>
      <c r="H77" s="2"/>
      <c r="I77" s="2" t="s">
        <v>4</v>
      </c>
      <c r="J77" s="2">
        <f>SUM(F74:F81)</f>
        <v>785</v>
      </c>
      <c r="K77" s="2"/>
      <c r="L77" s="2"/>
      <c r="M77" s="2"/>
    </row>
    <row r="78" spans="1:13" x14ac:dyDescent="0.25">
      <c r="A78" s="2" t="s">
        <v>97</v>
      </c>
      <c r="B78" s="2" t="s">
        <v>110</v>
      </c>
      <c r="C78" s="2">
        <v>177</v>
      </c>
      <c r="D78" s="2">
        <v>184</v>
      </c>
      <c r="E78" s="2">
        <v>145</v>
      </c>
      <c r="F78" s="2">
        <v>190</v>
      </c>
      <c r="G78" s="2">
        <f t="shared" si="2"/>
        <v>696</v>
      </c>
      <c r="H78" s="2"/>
      <c r="I78" s="2" t="s">
        <v>11</v>
      </c>
      <c r="J78" s="2">
        <f>157+121+187+150</f>
        <v>615</v>
      </c>
      <c r="K78" s="2"/>
      <c r="L78" s="2"/>
      <c r="M78" s="2"/>
    </row>
    <row r="79" spans="1:13" x14ac:dyDescent="0.25">
      <c r="A79" s="2" t="s">
        <v>97</v>
      </c>
      <c r="B79" s="2" t="s">
        <v>111</v>
      </c>
      <c r="C79" s="2">
        <v>155</v>
      </c>
      <c r="D79" s="2">
        <v>143</v>
      </c>
      <c r="E79" s="2">
        <v>144</v>
      </c>
      <c r="F79" s="2">
        <v>166</v>
      </c>
      <c r="G79" s="2">
        <f t="shared" si="2"/>
        <v>608</v>
      </c>
      <c r="H79" s="2"/>
      <c r="I79" s="2" t="s">
        <v>12</v>
      </c>
      <c r="J79" s="2">
        <f>131+159+169+152</f>
        <v>611</v>
      </c>
      <c r="K79" s="2"/>
      <c r="L79" s="2"/>
      <c r="M79" s="2"/>
    </row>
    <row r="80" spans="1:13" x14ac:dyDescent="0.25">
      <c r="A80" s="2" t="s">
        <v>97</v>
      </c>
      <c r="B80" s="2" t="s">
        <v>112</v>
      </c>
      <c r="C80" s="2">
        <v>155</v>
      </c>
      <c r="D80" s="2">
        <v>151</v>
      </c>
      <c r="E80" s="2">
        <v>165</v>
      </c>
      <c r="F80" s="2">
        <v>135</v>
      </c>
      <c r="G80" s="2">
        <f t="shared" si="2"/>
        <v>606</v>
      </c>
      <c r="H80" s="2"/>
      <c r="I80" s="2" t="s">
        <v>13</v>
      </c>
      <c r="J80" s="2">
        <f>224+142+156+148</f>
        <v>670</v>
      </c>
      <c r="K80" s="2"/>
      <c r="L80" s="2"/>
      <c r="M80" s="2"/>
    </row>
    <row r="81" spans="1:13" x14ac:dyDescent="0.25">
      <c r="A81" s="2" t="s">
        <v>97</v>
      </c>
      <c r="B81" s="2"/>
      <c r="C81" s="2"/>
      <c r="D81" s="2"/>
      <c r="E81" s="2"/>
      <c r="F81" s="2"/>
      <c r="G81" s="2">
        <f t="shared" si="2"/>
        <v>0</v>
      </c>
      <c r="H81" s="2"/>
      <c r="I81" s="2" t="s">
        <v>175</v>
      </c>
      <c r="J81" s="2">
        <f>200+199+136+199</f>
        <v>734</v>
      </c>
      <c r="K81" s="2"/>
      <c r="L81" s="2"/>
      <c r="M81" s="2"/>
    </row>
    <row r="82" spans="1:13" ht="15.75" x14ac:dyDescent="0.25">
      <c r="A82" s="3" t="s">
        <v>65</v>
      </c>
      <c r="B82" s="13" t="s">
        <v>73</v>
      </c>
      <c r="C82" s="3">
        <v>165</v>
      </c>
      <c r="D82" s="3">
        <v>166</v>
      </c>
      <c r="E82" s="3">
        <v>136</v>
      </c>
      <c r="F82" s="3">
        <v>179</v>
      </c>
      <c r="G82" s="3">
        <f t="shared" si="2"/>
        <v>646</v>
      </c>
      <c r="H82" s="3"/>
      <c r="I82" s="3" t="s">
        <v>0</v>
      </c>
      <c r="J82" s="3">
        <f>SUM(C82:C89)</f>
        <v>811</v>
      </c>
      <c r="K82" s="3"/>
      <c r="L82" s="3" t="str">
        <f>A82</f>
        <v>Rio Grande - Varsity</v>
      </c>
      <c r="M82" s="3">
        <f>SUM(J82:J89)</f>
        <v>5228</v>
      </c>
    </row>
    <row r="83" spans="1:13" ht="15.75" x14ac:dyDescent="0.25">
      <c r="A83" s="3" t="s">
        <v>65</v>
      </c>
      <c r="B83" s="13" t="s">
        <v>74</v>
      </c>
      <c r="C83" s="3">
        <v>147</v>
      </c>
      <c r="D83" s="3">
        <v>183</v>
      </c>
      <c r="E83" s="3">
        <v>141</v>
      </c>
      <c r="F83" s="3">
        <v>129</v>
      </c>
      <c r="G83" s="3">
        <f t="shared" si="2"/>
        <v>600</v>
      </c>
      <c r="H83" s="3"/>
      <c r="I83" s="3" t="s">
        <v>1</v>
      </c>
      <c r="J83" s="3">
        <f>SUM(D82:D89)</f>
        <v>704</v>
      </c>
      <c r="K83" s="3"/>
      <c r="L83" s="3"/>
      <c r="M83" s="3"/>
    </row>
    <row r="84" spans="1:13" ht="15.75" x14ac:dyDescent="0.25">
      <c r="A84" s="3" t="s">
        <v>65</v>
      </c>
      <c r="B84" s="13" t="s">
        <v>75</v>
      </c>
      <c r="C84" s="3">
        <v>203</v>
      </c>
      <c r="D84" s="3">
        <v>158</v>
      </c>
      <c r="E84" s="3">
        <v>150</v>
      </c>
      <c r="F84" s="3">
        <v>149</v>
      </c>
      <c r="G84" s="3">
        <f t="shared" si="2"/>
        <v>660</v>
      </c>
      <c r="H84" s="3"/>
      <c r="I84" s="3" t="s">
        <v>2</v>
      </c>
      <c r="J84" s="3">
        <f>SUM(E82:E89)</f>
        <v>675</v>
      </c>
      <c r="K84" s="3"/>
      <c r="L84" s="3"/>
      <c r="M84" s="3"/>
    </row>
    <row r="85" spans="1:13" ht="15.75" x14ac:dyDescent="0.25">
      <c r="A85" s="3" t="s">
        <v>65</v>
      </c>
      <c r="B85" s="13" t="s">
        <v>76</v>
      </c>
      <c r="C85" s="3">
        <v>169</v>
      </c>
      <c r="D85" s="3">
        <v>97</v>
      </c>
      <c r="E85" s="3">
        <v>140</v>
      </c>
      <c r="F85" s="3">
        <v>159</v>
      </c>
      <c r="G85" s="3">
        <f t="shared" si="2"/>
        <v>565</v>
      </c>
      <c r="H85" s="3"/>
      <c r="I85" s="3" t="s">
        <v>4</v>
      </c>
      <c r="J85" s="3">
        <f>SUM(F82:F89)</f>
        <v>751</v>
      </c>
      <c r="K85" s="3"/>
      <c r="L85" s="3"/>
      <c r="M85" s="3"/>
    </row>
    <row r="86" spans="1:13" ht="15.75" x14ac:dyDescent="0.25">
      <c r="A86" s="3" t="s">
        <v>65</v>
      </c>
      <c r="B86" s="13" t="s">
        <v>77</v>
      </c>
      <c r="C86" s="3">
        <v>127</v>
      </c>
      <c r="D86" s="3">
        <v>100</v>
      </c>
      <c r="E86" s="3"/>
      <c r="F86" s="3"/>
      <c r="G86" s="3">
        <f t="shared" si="2"/>
        <v>227</v>
      </c>
      <c r="H86" s="3"/>
      <c r="I86" s="3" t="s">
        <v>11</v>
      </c>
      <c r="J86" s="3">
        <f>135+111+180+147</f>
        <v>573</v>
      </c>
      <c r="K86" s="3"/>
      <c r="L86" s="3"/>
      <c r="M86" s="3"/>
    </row>
    <row r="87" spans="1:13" ht="15.75" x14ac:dyDescent="0.25">
      <c r="A87" s="3" t="s">
        <v>65</v>
      </c>
      <c r="B87" s="13" t="s">
        <v>178</v>
      </c>
      <c r="C87" s="3"/>
      <c r="D87" s="3"/>
      <c r="E87" s="3">
        <v>108</v>
      </c>
      <c r="F87" s="3">
        <v>135</v>
      </c>
      <c r="G87" s="3">
        <f t="shared" si="2"/>
        <v>243</v>
      </c>
      <c r="H87" s="3"/>
      <c r="I87" s="3" t="s">
        <v>12</v>
      </c>
      <c r="J87" s="3">
        <f>134+109+160+100</f>
        <v>503</v>
      </c>
      <c r="K87" s="3"/>
      <c r="L87" s="3"/>
      <c r="M87" s="3"/>
    </row>
    <row r="88" spans="1:13" x14ac:dyDescent="0.25">
      <c r="A88" s="3" t="s">
        <v>65</v>
      </c>
      <c r="B88" s="3"/>
      <c r="C88" s="3"/>
      <c r="D88" s="3"/>
      <c r="E88" s="3"/>
      <c r="F88" s="3"/>
      <c r="G88" s="3">
        <f t="shared" si="2"/>
        <v>0</v>
      </c>
      <c r="H88" s="3"/>
      <c r="I88" s="3" t="s">
        <v>13</v>
      </c>
      <c r="J88" s="3">
        <f>148+145+145+137</f>
        <v>575</v>
      </c>
      <c r="K88" s="3"/>
      <c r="L88" s="3"/>
      <c r="M88" s="3"/>
    </row>
    <row r="89" spans="1:13" x14ac:dyDescent="0.25">
      <c r="A89" s="3" t="s">
        <v>65</v>
      </c>
      <c r="B89" s="3"/>
      <c r="C89" s="3"/>
      <c r="D89" s="3"/>
      <c r="E89" s="3"/>
      <c r="F89" s="3"/>
      <c r="G89" s="3">
        <f t="shared" si="2"/>
        <v>0</v>
      </c>
      <c r="H89" s="3"/>
      <c r="I89" s="3" t="s">
        <v>175</v>
      </c>
      <c r="J89" s="3">
        <f>158+189+147+142</f>
        <v>636</v>
      </c>
      <c r="K89" s="3"/>
      <c r="L89" s="3"/>
      <c r="M89" s="3"/>
    </row>
    <row r="90" spans="1:13" x14ac:dyDescent="0.25">
      <c r="A90" s="2" t="s">
        <v>134</v>
      </c>
      <c r="B90" s="2" t="s">
        <v>127</v>
      </c>
      <c r="C90" s="2">
        <v>187</v>
      </c>
      <c r="D90" s="2">
        <v>211</v>
      </c>
      <c r="E90" s="2">
        <v>140</v>
      </c>
      <c r="F90" s="2">
        <v>143</v>
      </c>
      <c r="G90" s="2">
        <f t="shared" si="2"/>
        <v>681</v>
      </c>
      <c r="H90" s="2"/>
      <c r="I90" s="2" t="s">
        <v>0</v>
      </c>
      <c r="J90" s="2">
        <f>SUM(C90:C97)</f>
        <v>747</v>
      </c>
      <c r="K90" s="2"/>
      <c r="L90" s="2" t="str">
        <f>A90</f>
        <v>University of the Cumberlands - JV</v>
      </c>
      <c r="M90" s="2">
        <f>SUM(J90:J97)</f>
        <v>5395</v>
      </c>
    </row>
    <row r="91" spans="1:13" x14ac:dyDescent="0.25">
      <c r="A91" s="2" t="s">
        <v>134</v>
      </c>
      <c r="B91" s="2" t="s">
        <v>129</v>
      </c>
      <c r="C91" s="2">
        <v>149</v>
      </c>
      <c r="D91" s="2">
        <v>185</v>
      </c>
      <c r="E91" s="2">
        <v>164</v>
      </c>
      <c r="F91" s="2">
        <v>164</v>
      </c>
      <c r="G91" s="2">
        <f t="shared" si="2"/>
        <v>662</v>
      </c>
      <c r="H91" s="2"/>
      <c r="I91" s="2" t="s">
        <v>1</v>
      </c>
      <c r="J91" s="2">
        <f>SUM(D90:D97)</f>
        <v>739</v>
      </c>
      <c r="K91" s="2"/>
      <c r="L91" s="2"/>
      <c r="M91" s="2"/>
    </row>
    <row r="92" spans="1:13" x14ac:dyDescent="0.25">
      <c r="A92" s="2" t="s">
        <v>134</v>
      </c>
      <c r="B92" s="2" t="s">
        <v>130</v>
      </c>
      <c r="C92" s="2">
        <v>123</v>
      </c>
      <c r="D92" s="2">
        <v>134</v>
      </c>
      <c r="E92" s="2">
        <v>163</v>
      </c>
      <c r="F92" s="2">
        <v>203</v>
      </c>
      <c r="G92" s="2">
        <f t="shared" si="2"/>
        <v>623</v>
      </c>
      <c r="H92" s="2"/>
      <c r="I92" s="2" t="s">
        <v>2</v>
      </c>
      <c r="J92" s="2">
        <f>SUM(E90:E97)</f>
        <v>755</v>
      </c>
      <c r="K92" s="2"/>
      <c r="L92" s="2"/>
      <c r="M92" s="2"/>
    </row>
    <row r="93" spans="1:13" x14ac:dyDescent="0.25">
      <c r="A93" s="2" t="s">
        <v>134</v>
      </c>
      <c r="B93" s="2" t="s">
        <v>131</v>
      </c>
      <c r="C93" s="2">
        <v>166</v>
      </c>
      <c r="D93" s="2">
        <v>127</v>
      </c>
      <c r="E93" s="2">
        <v>149</v>
      </c>
      <c r="F93" s="2">
        <v>126</v>
      </c>
      <c r="G93" s="2">
        <f t="shared" si="2"/>
        <v>568</v>
      </c>
      <c r="H93" s="2"/>
      <c r="I93" s="2" t="s">
        <v>4</v>
      </c>
      <c r="J93" s="2">
        <f>SUM(F90:F97)</f>
        <v>770</v>
      </c>
      <c r="K93" s="2"/>
      <c r="L93" s="2"/>
      <c r="M93" s="2"/>
    </row>
    <row r="94" spans="1:13" x14ac:dyDescent="0.25">
      <c r="A94" s="2" t="s">
        <v>134</v>
      </c>
      <c r="B94" s="2" t="s">
        <v>132</v>
      </c>
      <c r="C94" s="2">
        <v>122</v>
      </c>
      <c r="D94" s="2"/>
      <c r="E94" s="2">
        <v>139</v>
      </c>
      <c r="F94" s="2">
        <v>134</v>
      </c>
      <c r="G94" s="2">
        <f t="shared" si="2"/>
        <v>395</v>
      </c>
      <c r="H94" s="2"/>
      <c r="I94" s="2" t="s">
        <v>11</v>
      </c>
      <c r="J94" s="2">
        <f>143+117+134+159</f>
        <v>553</v>
      </c>
      <c r="K94" s="2"/>
      <c r="L94" s="2"/>
      <c r="M94" s="2"/>
    </row>
    <row r="95" spans="1:13" x14ac:dyDescent="0.25">
      <c r="A95" s="2" t="s">
        <v>134</v>
      </c>
      <c r="B95" s="2" t="s">
        <v>133</v>
      </c>
      <c r="C95" s="2"/>
      <c r="D95" s="2">
        <v>82</v>
      </c>
      <c r="E95" s="2"/>
      <c r="F95" s="2"/>
      <c r="G95" s="2">
        <f t="shared" si="2"/>
        <v>82</v>
      </c>
      <c r="H95" s="2"/>
      <c r="I95" s="2" t="s">
        <v>12</v>
      </c>
      <c r="J95" s="2">
        <f>156+154+162+174</f>
        <v>646</v>
      </c>
      <c r="K95" s="2"/>
      <c r="L95" s="2"/>
      <c r="M95" s="2"/>
    </row>
    <row r="96" spans="1:13" x14ac:dyDescent="0.25">
      <c r="A96" s="2" t="s">
        <v>134</v>
      </c>
      <c r="B96" s="2"/>
      <c r="C96" s="2"/>
      <c r="D96" s="2"/>
      <c r="E96" s="2"/>
      <c r="F96" s="2"/>
      <c r="G96" s="2">
        <f t="shared" si="2"/>
        <v>0</v>
      </c>
      <c r="H96" s="2"/>
      <c r="I96" s="2" t="s">
        <v>13</v>
      </c>
      <c r="J96" s="2">
        <f>127+132+150+189</f>
        <v>598</v>
      </c>
      <c r="K96" s="2"/>
      <c r="L96" s="2"/>
      <c r="M96" s="2"/>
    </row>
    <row r="97" spans="1:13" x14ac:dyDescent="0.25">
      <c r="A97" s="2" t="s">
        <v>134</v>
      </c>
      <c r="B97" s="2"/>
      <c r="C97" s="2"/>
      <c r="D97" s="2"/>
      <c r="E97" s="2"/>
      <c r="F97" s="2"/>
      <c r="G97" s="2">
        <f t="shared" si="2"/>
        <v>0</v>
      </c>
      <c r="H97" s="2"/>
      <c r="I97" s="2" t="s">
        <v>175</v>
      </c>
      <c r="J97" s="2">
        <f>115+178+151+143</f>
        <v>587</v>
      </c>
      <c r="K97" s="2"/>
      <c r="L97" s="2"/>
      <c r="M97" s="2"/>
    </row>
    <row r="98" spans="1:13" ht="15.75" x14ac:dyDescent="0.25">
      <c r="A98" s="3" t="s">
        <v>113</v>
      </c>
      <c r="B98" s="13" t="s">
        <v>121</v>
      </c>
      <c r="C98" s="3">
        <v>149</v>
      </c>
      <c r="D98" s="3"/>
      <c r="E98" s="3"/>
      <c r="F98" s="3"/>
      <c r="G98" s="3">
        <f t="shared" ref="G98:G129" si="3">SUM(C98:F98)</f>
        <v>149</v>
      </c>
      <c r="H98" s="3"/>
      <c r="I98" s="3" t="s">
        <v>0</v>
      </c>
      <c r="J98" s="3">
        <f>SUM(C98:C105)</f>
        <v>830</v>
      </c>
      <c r="K98" s="3"/>
      <c r="L98" s="3" t="str">
        <f>A98</f>
        <v>University of the Cumberlands - Varsity</v>
      </c>
      <c r="M98" s="3">
        <f>SUM(J98:J105)</f>
        <v>6046</v>
      </c>
    </row>
    <row r="99" spans="1:13" ht="15.75" x14ac:dyDescent="0.25">
      <c r="A99" s="3" t="s">
        <v>113</v>
      </c>
      <c r="B99" s="13" t="s">
        <v>122</v>
      </c>
      <c r="C99" s="3">
        <v>136</v>
      </c>
      <c r="D99" s="3">
        <v>127</v>
      </c>
      <c r="E99" s="3"/>
      <c r="F99" s="3">
        <v>147</v>
      </c>
      <c r="G99" s="3">
        <f t="shared" si="3"/>
        <v>410</v>
      </c>
      <c r="H99" s="3"/>
      <c r="I99" s="3" t="s">
        <v>1</v>
      </c>
      <c r="J99" s="3">
        <f>SUM(D98:D105)</f>
        <v>788</v>
      </c>
      <c r="K99" s="3"/>
      <c r="L99" s="3"/>
      <c r="M99" s="3"/>
    </row>
    <row r="100" spans="1:13" ht="15.75" x14ac:dyDescent="0.25">
      <c r="A100" s="3" t="s">
        <v>113</v>
      </c>
      <c r="B100" s="13" t="s">
        <v>123</v>
      </c>
      <c r="C100" s="3"/>
      <c r="D100" s="3"/>
      <c r="E100" s="3">
        <v>205</v>
      </c>
      <c r="F100" s="3">
        <v>139</v>
      </c>
      <c r="G100" s="3">
        <f t="shared" si="3"/>
        <v>344</v>
      </c>
      <c r="H100" s="3"/>
      <c r="I100" s="3" t="s">
        <v>2</v>
      </c>
      <c r="J100" s="3">
        <f>SUM(E98:E105)</f>
        <v>880</v>
      </c>
      <c r="K100" s="3"/>
      <c r="L100" s="3"/>
      <c r="M100" s="3"/>
    </row>
    <row r="101" spans="1:13" ht="15.75" x14ac:dyDescent="0.25">
      <c r="A101" s="3" t="s">
        <v>113</v>
      </c>
      <c r="B101" s="13" t="s">
        <v>124</v>
      </c>
      <c r="C101" s="3"/>
      <c r="D101" s="3">
        <v>153</v>
      </c>
      <c r="E101" s="3">
        <v>147</v>
      </c>
      <c r="F101" s="3"/>
      <c r="G101" s="3">
        <f t="shared" si="3"/>
        <v>300</v>
      </c>
      <c r="H101" s="3"/>
      <c r="I101" s="3" t="s">
        <v>4</v>
      </c>
      <c r="J101" s="3">
        <f>SUM(F98:F105)</f>
        <v>807</v>
      </c>
      <c r="K101" s="3"/>
      <c r="L101" s="3"/>
      <c r="M101" s="3"/>
    </row>
    <row r="102" spans="1:13" ht="15.75" x14ac:dyDescent="0.25">
      <c r="A102" s="3" t="s">
        <v>113</v>
      </c>
      <c r="B102" s="13" t="s">
        <v>125</v>
      </c>
      <c r="C102" s="3">
        <v>202</v>
      </c>
      <c r="D102" s="3">
        <v>170</v>
      </c>
      <c r="E102" s="3">
        <v>159</v>
      </c>
      <c r="F102" s="3">
        <v>196</v>
      </c>
      <c r="G102" s="3">
        <f t="shared" si="3"/>
        <v>727</v>
      </c>
      <c r="H102" s="3"/>
      <c r="I102" s="3" t="s">
        <v>11</v>
      </c>
      <c r="J102" s="3">
        <f>168+165+143+163</f>
        <v>639</v>
      </c>
      <c r="K102" s="3"/>
      <c r="L102" s="3"/>
      <c r="M102" s="3"/>
    </row>
    <row r="103" spans="1:13" ht="15.75" x14ac:dyDescent="0.25">
      <c r="A103" s="3" t="s">
        <v>113</v>
      </c>
      <c r="B103" s="13" t="s">
        <v>126</v>
      </c>
      <c r="C103" s="3">
        <v>158</v>
      </c>
      <c r="D103" s="3">
        <v>178</v>
      </c>
      <c r="E103" s="3">
        <v>198</v>
      </c>
      <c r="F103" s="3">
        <v>171</v>
      </c>
      <c r="G103" s="3">
        <f t="shared" si="3"/>
        <v>705</v>
      </c>
      <c r="H103" s="3"/>
      <c r="I103" s="3" t="s">
        <v>12</v>
      </c>
      <c r="J103" s="3">
        <f>173+182+178+178</f>
        <v>711</v>
      </c>
      <c r="K103" s="3"/>
      <c r="L103" s="3"/>
      <c r="M103" s="3"/>
    </row>
    <row r="104" spans="1:13" ht="15.75" x14ac:dyDescent="0.25">
      <c r="A104" s="3" t="s">
        <v>113</v>
      </c>
      <c r="B104" s="13" t="s">
        <v>128</v>
      </c>
      <c r="C104" s="3">
        <v>185</v>
      </c>
      <c r="D104" s="3">
        <v>160</v>
      </c>
      <c r="E104" s="3">
        <v>171</v>
      </c>
      <c r="F104" s="3">
        <v>154</v>
      </c>
      <c r="G104" s="3">
        <f t="shared" si="3"/>
        <v>670</v>
      </c>
      <c r="H104" s="3"/>
      <c r="I104" s="3" t="s">
        <v>13</v>
      </c>
      <c r="J104" s="3">
        <f>166+203+189+169</f>
        <v>727</v>
      </c>
      <c r="K104" s="3"/>
      <c r="L104" s="3"/>
      <c r="M104" s="3"/>
    </row>
    <row r="105" spans="1:13" x14ac:dyDescent="0.25">
      <c r="A105" s="3" t="s">
        <v>113</v>
      </c>
      <c r="B105" s="3"/>
      <c r="C105" s="3"/>
      <c r="D105" s="3"/>
      <c r="E105" s="3"/>
      <c r="F105" s="3"/>
      <c r="G105" s="3">
        <f t="shared" si="3"/>
        <v>0</v>
      </c>
      <c r="H105" s="3"/>
      <c r="I105" s="3" t="s">
        <v>175</v>
      </c>
      <c r="J105" s="3">
        <f>197+162+168+137</f>
        <v>664</v>
      </c>
      <c r="K105" s="3"/>
      <c r="L105" s="3"/>
      <c r="M105" s="3"/>
    </row>
  </sheetData>
  <sortState xmlns:xlrd2="http://schemas.microsoft.com/office/spreadsheetml/2017/richdata2" ref="A2:M105">
    <sortCondition ref="A2:A105"/>
  </sortState>
  <phoneticPr fontId="4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"/>
  <sheetViews>
    <sheetView workbookViewId="0">
      <selection sqref="A1:B14"/>
    </sheetView>
  </sheetViews>
  <sheetFormatPr defaultRowHeight="15" x14ac:dyDescent="0.25"/>
  <cols>
    <col min="1" max="1" width="36.42578125" style="17" bestFit="1" customWidth="1"/>
    <col min="2" max="2" width="10.42578125" style="17" bestFit="1" customWidth="1"/>
    <col min="3" max="16384" width="9.140625" style="17"/>
  </cols>
  <sheetData>
    <row r="1" spans="1:2" x14ac:dyDescent="0.25">
      <c r="A1" s="17" t="s">
        <v>176</v>
      </c>
      <c r="B1" s="17" t="s">
        <v>177</v>
      </c>
    </row>
    <row r="2" spans="1:2" x14ac:dyDescent="0.25">
      <c r="A2" s="17" t="s">
        <v>149</v>
      </c>
      <c r="B2" s="17">
        <v>6053</v>
      </c>
    </row>
    <row r="3" spans="1:2" x14ac:dyDescent="0.25">
      <c r="A3" s="17" t="s">
        <v>113</v>
      </c>
      <c r="B3" s="17">
        <v>6046</v>
      </c>
    </row>
    <row r="4" spans="1:2" x14ac:dyDescent="0.25">
      <c r="A4" s="17" t="s">
        <v>158</v>
      </c>
      <c r="B4" s="17">
        <v>5878</v>
      </c>
    </row>
    <row r="5" spans="1:2" x14ac:dyDescent="0.25">
      <c r="A5" s="17" t="s">
        <v>34</v>
      </c>
      <c r="B5" s="17">
        <v>5845</v>
      </c>
    </row>
    <row r="6" spans="1:2" x14ac:dyDescent="0.25">
      <c r="A6" s="17" t="s">
        <v>135</v>
      </c>
      <c r="B6" s="17">
        <v>5802</v>
      </c>
    </row>
    <row r="7" spans="1:2" x14ac:dyDescent="0.25">
      <c r="A7" s="17" t="s">
        <v>97</v>
      </c>
      <c r="B7" s="17">
        <v>5768</v>
      </c>
    </row>
    <row r="8" spans="1:2" x14ac:dyDescent="0.25">
      <c r="A8" s="17" t="s">
        <v>9</v>
      </c>
      <c r="B8" s="17">
        <v>5660</v>
      </c>
    </row>
    <row r="9" spans="1:2" x14ac:dyDescent="0.25">
      <c r="A9" s="17" t="s">
        <v>46</v>
      </c>
      <c r="B9" s="17">
        <v>5510</v>
      </c>
    </row>
    <row r="10" spans="1:2" x14ac:dyDescent="0.25">
      <c r="A10" s="17" t="s">
        <v>134</v>
      </c>
      <c r="B10" s="17">
        <v>5395</v>
      </c>
    </row>
    <row r="11" spans="1:2" x14ac:dyDescent="0.25">
      <c r="A11" s="17" t="s">
        <v>65</v>
      </c>
      <c r="B11" s="17">
        <v>5228</v>
      </c>
    </row>
    <row r="12" spans="1:2" x14ac:dyDescent="0.25">
      <c r="A12" s="17" t="s">
        <v>78</v>
      </c>
      <c r="B12" s="17">
        <v>5212</v>
      </c>
    </row>
    <row r="13" spans="1:2" x14ac:dyDescent="0.25">
      <c r="A13" s="17" t="s">
        <v>47</v>
      </c>
      <c r="B13" s="17">
        <v>5153</v>
      </c>
    </row>
    <row r="14" spans="1:2" x14ac:dyDescent="0.25">
      <c r="A14" s="17" t="s">
        <v>85</v>
      </c>
      <c r="B14" s="17">
        <v>4501</v>
      </c>
    </row>
  </sheetData>
  <sortState xmlns:xlrd2="http://schemas.microsoft.com/office/spreadsheetml/2017/richdata2" ref="A2:N105">
    <sortCondition descending="1" ref="B2:B105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5"/>
  <sheetViews>
    <sheetView workbookViewId="0">
      <selection sqref="A1:C26"/>
    </sheetView>
  </sheetViews>
  <sheetFormatPr defaultRowHeight="15" x14ac:dyDescent="0.25"/>
  <cols>
    <col min="1" max="1" width="36.42578125" style="17" bestFit="1" customWidth="1"/>
    <col min="2" max="2" width="25.85546875" style="17" bestFit="1" customWidth="1"/>
    <col min="3" max="3" width="15.7109375" style="17" bestFit="1" customWidth="1"/>
    <col min="4" max="16384" width="9.140625" style="17"/>
  </cols>
  <sheetData>
    <row r="1" spans="1:3" x14ac:dyDescent="0.25">
      <c r="A1" s="17" t="s">
        <v>6</v>
      </c>
      <c r="B1" s="17" t="s">
        <v>5</v>
      </c>
      <c r="C1" s="17" t="s">
        <v>8</v>
      </c>
    </row>
    <row r="2" spans="1:3" x14ac:dyDescent="0.25">
      <c r="A2" s="17" t="s">
        <v>135</v>
      </c>
      <c r="B2" s="17" t="s">
        <v>143</v>
      </c>
      <c r="C2" s="17">
        <v>732</v>
      </c>
    </row>
    <row r="3" spans="1:3" x14ac:dyDescent="0.25">
      <c r="A3" s="17" t="s">
        <v>113</v>
      </c>
      <c r="B3" s="17" t="s">
        <v>125</v>
      </c>
      <c r="C3" s="17">
        <v>727</v>
      </c>
    </row>
    <row r="4" spans="1:3" x14ac:dyDescent="0.25">
      <c r="A4" s="17" t="s">
        <v>149</v>
      </c>
      <c r="B4" s="17" t="s">
        <v>150</v>
      </c>
      <c r="C4" s="17">
        <v>720</v>
      </c>
    </row>
    <row r="5" spans="1:3" x14ac:dyDescent="0.25">
      <c r="A5" s="17" t="s">
        <v>149</v>
      </c>
      <c r="B5" s="17" t="s">
        <v>154</v>
      </c>
      <c r="C5" s="17">
        <v>707</v>
      </c>
    </row>
    <row r="6" spans="1:3" x14ac:dyDescent="0.25">
      <c r="A6" s="17" t="s">
        <v>113</v>
      </c>
      <c r="B6" s="17" t="s">
        <v>126</v>
      </c>
      <c r="C6" s="17">
        <v>705</v>
      </c>
    </row>
    <row r="7" spans="1:3" x14ac:dyDescent="0.25">
      <c r="A7" s="17" t="s">
        <v>135</v>
      </c>
      <c r="B7" s="17" t="s">
        <v>146</v>
      </c>
      <c r="C7" s="17">
        <v>702</v>
      </c>
    </row>
    <row r="8" spans="1:3" x14ac:dyDescent="0.25">
      <c r="A8" s="17" t="s">
        <v>149</v>
      </c>
      <c r="B8" s="17" t="s">
        <v>153</v>
      </c>
      <c r="C8" s="17">
        <v>699</v>
      </c>
    </row>
    <row r="9" spans="1:3" x14ac:dyDescent="0.25">
      <c r="A9" s="17" t="s">
        <v>34</v>
      </c>
      <c r="B9" s="17" t="s">
        <v>52</v>
      </c>
      <c r="C9" s="17">
        <v>696</v>
      </c>
    </row>
    <row r="10" spans="1:3" x14ac:dyDescent="0.25">
      <c r="A10" s="17" t="s">
        <v>97</v>
      </c>
      <c r="B10" s="17" t="s">
        <v>110</v>
      </c>
      <c r="C10" s="17">
        <v>696</v>
      </c>
    </row>
    <row r="11" spans="1:3" x14ac:dyDescent="0.25">
      <c r="A11" s="17" t="s">
        <v>9</v>
      </c>
      <c r="B11" s="17" t="s">
        <v>21</v>
      </c>
      <c r="C11" s="17">
        <v>694</v>
      </c>
    </row>
    <row r="12" spans="1:3" x14ac:dyDescent="0.25">
      <c r="A12" s="17" t="s">
        <v>158</v>
      </c>
      <c r="B12" s="17" t="s">
        <v>165</v>
      </c>
      <c r="C12" s="17">
        <v>687</v>
      </c>
    </row>
    <row r="13" spans="1:3" x14ac:dyDescent="0.25">
      <c r="A13" s="17" t="s">
        <v>46</v>
      </c>
      <c r="B13" s="17" t="s">
        <v>55</v>
      </c>
      <c r="C13" s="17">
        <v>683</v>
      </c>
    </row>
    <row r="14" spans="1:3" x14ac:dyDescent="0.25">
      <c r="A14" s="17" t="s">
        <v>134</v>
      </c>
      <c r="B14" s="17" t="s">
        <v>127</v>
      </c>
      <c r="C14" s="17">
        <v>681</v>
      </c>
    </row>
    <row r="15" spans="1:3" x14ac:dyDescent="0.25">
      <c r="A15" s="17" t="s">
        <v>158</v>
      </c>
      <c r="B15" s="17" t="s">
        <v>157</v>
      </c>
      <c r="C15" s="17">
        <v>676</v>
      </c>
    </row>
    <row r="16" spans="1:3" x14ac:dyDescent="0.25">
      <c r="A16" s="17" t="s">
        <v>113</v>
      </c>
      <c r="B16" s="17" t="s">
        <v>128</v>
      </c>
      <c r="C16" s="17">
        <v>670</v>
      </c>
    </row>
    <row r="17" spans="1:3" x14ac:dyDescent="0.25">
      <c r="A17" s="17" t="s">
        <v>134</v>
      </c>
      <c r="B17" s="17" t="s">
        <v>129</v>
      </c>
      <c r="C17" s="17">
        <v>662</v>
      </c>
    </row>
    <row r="18" spans="1:3" x14ac:dyDescent="0.25">
      <c r="A18" s="17" t="s">
        <v>34</v>
      </c>
      <c r="B18" s="17" t="s">
        <v>48</v>
      </c>
      <c r="C18" s="17">
        <v>660</v>
      </c>
    </row>
    <row r="19" spans="1:3" x14ac:dyDescent="0.25">
      <c r="A19" s="17" t="s">
        <v>65</v>
      </c>
      <c r="B19" s="17" t="s">
        <v>75</v>
      </c>
      <c r="C19" s="17">
        <v>660</v>
      </c>
    </row>
    <row r="20" spans="1:3" x14ac:dyDescent="0.25">
      <c r="A20" s="17" t="s">
        <v>149</v>
      </c>
      <c r="B20" s="17" t="s">
        <v>151</v>
      </c>
      <c r="C20" s="17">
        <v>651</v>
      </c>
    </row>
    <row r="21" spans="1:3" x14ac:dyDescent="0.25">
      <c r="A21" s="17" t="s">
        <v>65</v>
      </c>
      <c r="B21" s="17" t="s">
        <v>73</v>
      </c>
      <c r="C21" s="17">
        <v>646</v>
      </c>
    </row>
    <row r="22" spans="1:3" x14ac:dyDescent="0.25">
      <c r="A22" s="17" t="s">
        <v>78</v>
      </c>
      <c r="B22" s="17" t="s">
        <v>86</v>
      </c>
      <c r="C22" s="17">
        <v>644</v>
      </c>
    </row>
    <row r="23" spans="1:3" x14ac:dyDescent="0.25">
      <c r="A23" s="17" t="s">
        <v>135</v>
      </c>
      <c r="B23" s="17" t="s">
        <v>145</v>
      </c>
      <c r="C23" s="17">
        <v>640</v>
      </c>
    </row>
    <row r="24" spans="1:3" x14ac:dyDescent="0.25">
      <c r="A24" s="17" t="s">
        <v>47</v>
      </c>
      <c r="B24" s="17" t="s">
        <v>60</v>
      </c>
      <c r="C24" s="17">
        <v>630</v>
      </c>
    </row>
    <row r="25" spans="1:3" x14ac:dyDescent="0.25">
      <c r="A25" s="17" t="s">
        <v>134</v>
      </c>
      <c r="B25" s="17" t="s">
        <v>130</v>
      </c>
      <c r="C25" s="17">
        <v>623</v>
      </c>
    </row>
    <row r="26" spans="1:3" x14ac:dyDescent="0.25">
      <c r="A26" s="17" t="s">
        <v>85</v>
      </c>
      <c r="B26" s="17" t="s">
        <v>94</v>
      </c>
      <c r="C26" s="17">
        <v>620</v>
      </c>
    </row>
    <row r="27" spans="1:3" x14ac:dyDescent="0.25">
      <c r="A27" s="17" t="s">
        <v>46</v>
      </c>
      <c r="B27" s="17" t="s">
        <v>58</v>
      </c>
      <c r="C27" s="17">
        <v>618</v>
      </c>
    </row>
    <row r="28" spans="1:3" x14ac:dyDescent="0.25">
      <c r="A28" s="17" t="s">
        <v>78</v>
      </c>
      <c r="B28" s="17" t="s">
        <v>89</v>
      </c>
      <c r="C28" s="17">
        <v>617</v>
      </c>
    </row>
    <row r="29" spans="1:3" x14ac:dyDescent="0.25">
      <c r="A29" s="17" t="s">
        <v>46</v>
      </c>
      <c r="B29" s="17" t="s">
        <v>54</v>
      </c>
      <c r="C29" s="17">
        <v>608</v>
      </c>
    </row>
    <row r="30" spans="1:3" x14ac:dyDescent="0.25">
      <c r="A30" s="17" t="s">
        <v>97</v>
      </c>
      <c r="B30" s="17" t="s">
        <v>111</v>
      </c>
      <c r="C30" s="17">
        <v>608</v>
      </c>
    </row>
    <row r="31" spans="1:3" x14ac:dyDescent="0.25">
      <c r="A31" s="17" t="s">
        <v>97</v>
      </c>
      <c r="B31" s="17" t="s">
        <v>107</v>
      </c>
      <c r="C31" s="17">
        <v>607</v>
      </c>
    </row>
    <row r="32" spans="1:3" x14ac:dyDescent="0.25">
      <c r="A32" s="17" t="s">
        <v>97</v>
      </c>
      <c r="B32" s="17" t="s">
        <v>112</v>
      </c>
      <c r="C32" s="17">
        <v>606</v>
      </c>
    </row>
    <row r="33" spans="1:3" x14ac:dyDescent="0.25">
      <c r="A33" s="17" t="s">
        <v>78</v>
      </c>
      <c r="B33" s="17" t="s">
        <v>87</v>
      </c>
      <c r="C33" s="17">
        <v>603</v>
      </c>
    </row>
    <row r="34" spans="1:3" x14ac:dyDescent="0.25">
      <c r="A34" s="17" t="s">
        <v>34</v>
      </c>
      <c r="B34" s="17" t="s">
        <v>51</v>
      </c>
      <c r="C34" s="17">
        <v>600</v>
      </c>
    </row>
    <row r="35" spans="1:3" x14ac:dyDescent="0.25">
      <c r="A35" s="17" t="s">
        <v>65</v>
      </c>
      <c r="B35" s="17" t="s">
        <v>74</v>
      </c>
      <c r="C35" s="17">
        <v>600</v>
      </c>
    </row>
    <row r="36" spans="1:3" x14ac:dyDescent="0.25">
      <c r="A36" s="17" t="s">
        <v>135</v>
      </c>
      <c r="B36" s="17" t="s">
        <v>144</v>
      </c>
      <c r="C36" s="17">
        <v>582</v>
      </c>
    </row>
    <row r="37" spans="1:3" x14ac:dyDescent="0.25">
      <c r="A37" s="17" t="s">
        <v>134</v>
      </c>
      <c r="B37" s="17" t="s">
        <v>131</v>
      </c>
      <c r="C37" s="17">
        <v>568</v>
      </c>
    </row>
    <row r="38" spans="1:3" x14ac:dyDescent="0.25">
      <c r="A38" s="17" t="s">
        <v>65</v>
      </c>
      <c r="B38" s="17" t="s">
        <v>76</v>
      </c>
      <c r="C38" s="17">
        <v>565</v>
      </c>
    </row>
    <row r="39" spans="1:3" x14ac:dyDescent="0.25">
      <c r="A39" s="17" t="s">
        <v>78</v>
      </c>
      <c r="B39" s="17" t="s">
        <v>88</v>
      </c>
      <c r="C39" s="17">
        <v>551</v>
      </c>
    </row>
    <row r="40" spans="1:3" x14ac:dyDescent="0.25">
      <c r="A40" s="17" t="s">
        <v>46</v>
      </c>
      <c r="B40" s="17" t="s">
        <v>56</v>
      </c>
      <c r="C40" s="17">
        <v>548</v>
      </c>
    </row>
    <row r="41" spans="1:3" x14ac:dyDescent="0.25">
      <c r="A41" s="17" t="s">
        <v>85</v>
      </c>
      <c r="B41" s="17" t="s">
        <v>96</v>
      </c>
      <c r="C41" s="17">
        <v>529</v>
      </c>
    </row>
    <row r="42" spans="1:3" x14ac:dyDescent="0.25">
      <c r="A42" s="17" t="s">
        <v>47</v>
      </c>
      <c r="B42" s="17" t="s">
        <v>59</v>
      </c>
      <c r="C42" s="17">
        <v>518</v>
      </c>
    </row>
    <row r="43" spans="1:3" x14ac:dyDescent="0.25">
      <c r="A43" s="17" t="s">
        <v>34</v>
      </c>
      <c r="B43" s="17" t="s">
        <v>49</v>
      </c>
      <c r="C43" s="17">
        <v>518</v>
      </c>
    </row>
    <row r="44" spans="1:3" x14ac:dyDescent="0.25">
      <c r="A44" s="17" t="s">
        <v>85</v>
      </c>
      <c r="B44" s="17" t="s">
        <v>95</v>
      </c>
      <c r="C44" s="17">
        <v>501</v>
      </c>
    </row>
    <row r="45" spans="1:3" x14ac:dyDescent="0.25">
      <c r="A45" s="17" t="s">
        <v>85</v>
      </c>
      <c r="B45" s="17" t="s">
        <v>93</v>
      </c>
      <c r="C45" s="17">
        <v>497</v>
      </c>
    </row>
    <row r="46" spans="1:3" x14ac:dyDescent="0.25">
      <c r="A46" s="17" t="s">
        <v>34</v>
      </c>
      <c r="B46" s="17" t="s">
        <v>50</v>
      </c>
      <c r="C46" s="17">
        <v>492</v>
      </c>
    </row>
    <row r="47" spans="1:3" x14ac:dyDescent="0.25">
      <c r="A47" s="17" t="s">
        <v>9</v>
      </c>
      <c r="B47" s="17" t="s">
        <v>16</v>
      </c>
      <c r="C47" s="17">
        <v>490</v>
      </c>
    </row>
    <row r="48" spans="1:3" x14ac:dyDescent="0.25">
      <c r="A48" s="17" t="s">
        <v>158</v>
      </c>
      <c r="B48" s="17" t="s">
        <v>164</v>
      </c>
      <c r="C48" s="17">
        <v>480</v>
      </c>
    </row>
    <row r="49" spans="1:3" x14ac:dyDescent="0.25">
      <c r="A49" s="17" t="s">
        <v>47</v>
      </c>
      <c r="B49" s="17" t="s">
        <v>62</v>
      </c>
      <c r="C49" s="17">
        <v>470</v>
      </c>
    </row>
    <row r="50" spans="1:3" x14ac:dyDescent="0.25">
      <c r="A50" s="17" t="s">
        <v>149</v>
      </c>
      <c r="B50" s="17" t="s">
        <v>152</v>
      </c>
      <c r="C50" s="17">
        <v>462</v>
      </c>
    </row>
    <row r="51" spans="1:3" x14ac:dyDescent="0.25">
      <c r="A51" s="17" t="s">
        <v>47</v>
      </c>
      <c r="B51" s="17" t="s">
        <v>63</v>
      </c>
      <c r="C51" s="17">
        <v>460</v>
      </c>
    </row>
    <row r="52" spans="1:3" x14ac:dyDescent="0.25">
      <c r="A52" s="17" t="s">
        <v>9</v>
      </c>
      <c r="B52" s="17" t="s">
        <v>15</v>
      </c>
      <c r="C52" s="17">
        <v>457</v>
      </c>
    </row>
    <row r="53" spans="1:3" x14ac:dyDescent="0.25">
      <c r="A53" s="17" t="s">
        <v>9</v>
      </c>
      <c r="B53" s="17" t="s">
        <v>19</v>
      </c>
      <c r="C53" s="17">
        <v>454</v>
      </c>
    </row>
    <row r="54" spans="1:3" x14ac:dyDescent="0.25">
      <c r="A54" s="17" t="s">
        <v>135</v>
      </c>
      <c r="B54" s="17" t="s">
        <v>147</v>
      </c>
      <c r="C54" s="17">
        <v>432</v>
      </c>
    </row>
    <row r="55" spans="1:3" x14ac:dyDescent="0.25">
      <c r="A55" s="17" t="s">
        <v>158</v>
      </c>
      <c r="B55" s="17" t="s">
        <v>163</v>
      </c>
      <c r="C55" s="17">
        <v>426</v>
      </c>
    </row>
    <row r="56" spans="1:3" x14ac:dyDescent="0.25">
      <c r="A56" s="17" t="s">
        <v>47</v>
      </c>
      <c r="B56" s="17" t="s">
        <v>64</v>
      </c>
      <c r="C56" s="17">
        <v>424</v>
      </c>
    </row>
    <row r="57" spans="1:3" x14ac:dyDescent="0.25">
      <c r="A57" s="17" t="s">
        <v>46</v>
      </c>
      <c r="B57" s="17" t="s">
        <v>57</v>
      </c>
      <c r="C57" s="17">
        <v>419</v>
      </c>
    </row>
    <row r="58" spans="1:3" x14ac:dyDescent="0.25">
      <c r="A58" s="17" t="s">
        <v>113</v>
      </c>
      <c r="B58" s="17" t="s">
        <v>122</v>
      </c>
      <c r="C58" s="17">
        <v>410</v>
      </c>
    </row>
    <row r="59" spans="1:3" x14ac:dyDescent="0.25">
      <c r="A59" s="17" t="s">
        <v>85</v>
      </c>
      <c r="B59" s="17" t="s">
        <v>92</v>
      </c>
      <c r="C59" s="17">
        <v>399</v>
      </c>
    </row>
    <row r="60" spans="1:3" x14ac:dyDescent="0.25">
      <c r="A60" s="17" t="s">
        <v>134</v>
      </c>
      <c r="B60" s="17" t="s">
        <v>132</v>
      </c>
      <c r="C60" s="17">
        <v>395</v>
      </c>
    </row>
    <row r="61" spans="1:3" x14ac:dyDescent="0.25">
      <c r="A61" s="17" t="s">
        <v>97</v>
      </c>
      <c r="B61" s="17" t="s">
        <v>106</v>
      </c>
      <c r="C61" s="17">
        <v>367</v>
      </c>
    </row>
    <row r="62" spans="1:3" x14ac:dyDescent="0.25">
      <c r="A62" s="17" t="s">
        <v>113</v>
      </c>
      <c r="B62" s="17" t="s">
        <v>123</v>
      </c>
      <c r="C62" s="17">
        <v>344</v>
      </c>
    </row>
    <row r="63" spans="1:3" x14ac:dyDescent="0.25">
      <c r="A63" s="17" t="s">
        <v>158</v>
      </c>
      <c r="B63" s="17" t="s">
        <v>160</v>
      </c>
      <c r="C63" s="17">
        <v>333</v>
      </c>
    </row>
    <row r="64" spans="1:3" x14ac:dyDescent="0.25">
      <c r="A64" s="17" t="s">
        <v>78</v>
      </c>
      <c r="B64" s="17" t="s">
        <v>91</v>
      </c>
      <c r="C64" s="17">
        <v>303</v>
      </c>
    </row>
    <row r="65" spans="1:3" x14ac:dyDescent="0.25">
      <c r="A65" s="17" t="s">
        <v>113</v>
      </c>
      <c r="B65" s="17" t="s">
        <v>124</v>
      </c>
      <c r="C65" s="17">
        <v>300</v>
      </c>
    </row>
    <row r="66" spans="1:3" x14ac:dyDescent="0.25">
      <c r="A66" s="17" t="s">
        <v>158</v>
      </c>
      <c r="B66" s="17" t="s">
        <v>161</v>
      </c>
      <c r="C66" s="17">
        <v>294</v>
      </c>
    </row>
    <row r="67" spans="1:3" x14ac:dyDescent="0.25">
      <c r="A67" s="17" t="s">
        <v>9</v>
      </c>
      <c r="B67" s="17" t="s">
        <v>20</v>
      </c>
      <c r="C67" s="17">
        <v>291</v>
      </c>
    </row>
    <row r="68" spans="1:3" x14ac:dyDescent="0.25">
      <c r="A68" s="17" t="s">
        <v>9</v>
      </c>
      <c r="B68" s="17" t="s">
        <v>14</v>
      </c>
      <c r="C68" s="17">
        <v>281</v>
      </c>
    </row>
    <row r="69" spans="1:3" x14ac:dyDescent="0.25">
      <c r="A69" s="17" t="s">
        <v>9</v>
      </c>
      <c r="B69" s="17" t="s">
        <v>18</v>
      </c>
      <c r="C69" s="17">
        <v>278</v>
      </c>
    </row>
    <row r="70" spans="1:3" x14ac:dyDescent="0.25">
      <c r="A70" s="17" t="s">
        <v>78</v>
      </c>
      <c r="B70" s="17" t="s">
        <v>90</v>
      </c>
      <c r="C70" s="17">
        <v>271</v>
      </c>
    </row>
    <row r="71" spans="1:3" x14ac:dyDescent="0.25">
      <c r="A71" s="17" t="s">
        <v>158</v>
      </c>
      <c r="B71" s="17" t="s">
        <v>159</v>
      </c>
      <c r="C71" s="17">
        <v>262</v>
      </c>
    </row>
    <row r="72" spans="1:3" x14ac:dyDescent="0.25">
      <c r="A72" s="17" t="s">
        <v>97</v>
      </c>
      <c r="B72" s="17" t="s">
        <v>108</v>
      </c>
      <c r="C72" s="17">
        <v>254</v>
      </c>
    </row>
    <row r="73" spans="1:3" x14ac:dyDescent="0.25">
      <c r="A73" s="17" t="s">
        <v>47</v>
      </c>
      <c r="B73" s="17" t="s">
        <v>61</v>
      </c>
      <c r="C73" s="17">
        <v>252</v>
      </c>
    </row>
    <row r="74" spans="1:3" x14ac:dyDescent="0.25">
      <c r="A74" s="17" t="s">
        <v>65</v>
      </c>
      <c r="B74" s="17" t="s">
        <v>178</v>
      </c>
      <c r="C74" s="17">
        <v>243</v>
      </c>
    </row>
    <row r="75" spans="1:3" x14ac:dyDescent="0.25">
      <c r="A75" s="17" t="s">
        <v>65</v>
      </c>
      <c r="B75" s="17" t="s">
        <v>77</v>
      </c>
      <c r="C75" s="17">
        <v>227</v>
      </c>
    </row>
    <row r="76" spans="1:3" x14ac:dyDescent="0.25">
      <c r="A76" s="17" t="s">
        <v>135</v>
      </c>
      <c r="B76" s="17" t="s">
        <v>148</v>
      </c>
      <c r="C76" s="17">
        <v>172</v>
      </c>
    </row>
    <row r="77" spans="1:3" x14ac:dyDescent="0.25">
      <c r="A77" s="17" t="s">
        <v>149</v>
      </c>
      <c r="B77" s="17" t="s">
        <v>162</v>
      </c>
      <c r="C77" s="17">
        <v>163</v>
      </c>
    </row>
    <row r="78" spans="1:3" x14ac:dyDescent="0.25">
      <c r="A78" s="17" t="s">
        <v>113</v>
      </c>
      <c r="B78" s="17" t="s">
        <v>121</v>
      </c>
      <c r="C78" s="17">
        <v>149</v>
      </c>
    </row>
    <row r="79" spans="1:3" x14ac:dyDescent="0.25">
      <c r="A79" s="17" t="s">
        <v>34</v>
      </c>
      <c r="B79" s="17" t="s">
        <v>53</v>
      </c>
      <c r="C79" s="17">
        <v>146</v>
      </c>
    </row>
    <row r="80" spans="1:3" x14ac:dyDescent="0.25">
      <c r="A80" s="17" t="s">
        <v>34</v>
      </c>
      <c r="B80" s="17" t="s">
        <v>179</v>
      </c>
      <c r="C80" s="17">
        <v>143</v>
      </c>
    </row>
    <row r="81" spans="1:3" x14ac:dyDescent="0.25">
      <c r="A81" s="17" t="s">
        <v>9</v>
      </c>
      <c r="B81" s="17" t="s">
        <v>17</v>
      </c>
      <c r="C81" s="17">
        <v>120</v>
      </c>
    </row>
    <row r="82" spans="1:3" x14ac:dyDescent="0.25">
      <c r="A82" s="17" t="s">
        <v>46</v>
      </c>
      <c r="B82" s="17" t="s">
        <v>180</v>
      </c>
      <c r="C82" s="17">
        <v>108</v>
      </c>
    </row>
    <row r="83" spans="1:3" x14ac:dyDescent="0.25">
      <c r="A83" s="17" t="s">
        <v>134</v>
      </c>
      <c r="B83" s="17" t="s">
        <v>133</v>
      </c>
      <c r="C83" s="17">
        <v>82</v>
      </c>
    </row>
    <row r="84" spans="1:3" x14ac:dyDescent="0.25">
      <c r="A84" s="17" t="s">
        <v>85</v>
      </c>
      <c r="C84" s="17">
        <v>0</v>
      </c>
    </row>
    <row r="85" spans="1:3" x14ac:dyDescent="0.25">
      <c r="A85" s="17" t="s">
        <v>85</v>
      </c>
      <c r="C85" s="17">
        <v>0</v>
      </c>
    </row>
    <row r="86" spans="1:3" x14ac:dyDescent="0.25">
      <c r="A86" s="17" t="s">
        <v>85</v>
      </c>
      <c r="C86" s="17">
        <v>0</v>
      </c>
    </row>
    <row r="87" spans="1:3" x14ac:dyDescent="0.25">
      <c r="A87" s="17" t="s">
        <v>78</v>
      </c>
      <c r="C87" s="17">
        <v>0</v>
      </c>
    </row>
    <row r="88" spans="1:3" x14ac:dyDescent="0.25">
      <c r="A88" s="17" t="s">
        <v>78</v>
      </c>
      <c r="C88" s="17">
        <v>0</v>
      </c>
    </row>
    <row r="89" spans="1:3" x14ac:dyDescent="0.25">
      <c r="A89" s="17" t="s">
        <v>46</v>
      </c>
      <c r="C89" s="17">
        <v>0</v>
      </c>
    </row>
    <row r="90" spans="1:3" x14ac:dyDescent="0.25">
      <c r="A90" s="17" t="s">
        <v>46</v>
      </c>
      <c r="C90" s="17">
        <v>0</v>
      </c>
    </row>
    <row r="91" spans="1:3" x14ac:dyDescent="0.25">
      <c r="A91" s="17" t="s">
        <v>47</v>
      </c>
      <c r="C91" s="17">
        <v>0</v>
      </c>
    </row>
    <row r="92" spans="1:3" x14ac:dyDescent="0.25">
      <c r="A92" s="17" t="s">
        <v>47</v>
      </c>
      <c r="C92" s="17">
        <v>0</v>
      </c>
    </row>
    <row r="93" spans="1:3" x14ac:dyDescent="0.25">
      <c r="A93" s="17" t="s">
        <v>34</v>
      </c>
      <c r="C93" s="17">
        <v>0</v>
      </c>
    </row>
    <row r="94" spans="1:3" x14ac:dyDescent="0.25">
      <c r="A94" s="17" t="s">
        <v>135</v>
      </c>
      <c r="C94" s="17">
        <v>0</v>
      </c>
    </row>
    <row r="95" spans="1:3" x14ac:dyDescent="0.25">
      <c r="A95" s="17" t="s">
        <v>135</v>
      </c>
      <c r="C95" s="17">
        <v>0</v>
      </c>
    </row>
    <row r="96" spans="1:3" x14ac:dyDescent="0.25">
      <c r="A96" s="17" t="s">
        <v>158</v>
      </c>
      <c r="C96" s="17">
        <v>0</v>
      </c>
    </row>
    <row r="97" spans="1:3" x14ac:dyDescent="0.25">
      <c r="A97" s="17" t="s">
        <v>149</v>
      </c>
      <c r="B97" s="17" t="s">
        <v>155</v>
      </c>
      <c r="C97" s="17">
        <v>0</v>
      </c>
    </row>
    <row r="98" spans="1:3" x14ac:dyDescent="0.25">
      <c r="A98" s="17" t="s">
        <v>149</v>
      </c>
      <c r="B98" s="17" t="s">
        <v>156</v>
      </c>
      <c r="C98" s="17">
        <v>0</v>
      </c>
    </row>
    <row r="99" spans="1:3" x14ac:dyDescent="0.25">
      <c r="A99" s="17" t="s">
        <v>97</v>
      </c>
      <c r="B99" s="17" t="s">
        <v>109</v>
      </c>
      <c r="C99" s="17">
        <v>0</v>
      </c>
    </row>
    <row r="100" spans="1:3" x14ac:dyDescent="0.25">
      <c r="A100" s="17" t="s">
        <v>97</v>
      </c>
      <c r="C100" s="17">
        <v>0</v>
      </c>
    </row>
    <row r="101" spans="1:3" x14ac:dyDescent="0.25">
      <c r="A101" s="17" t="s">
        <v>65</v>
      </c>
      <c r="C101" s="17">
        <v>0</v>
      </c>
    </row>
    <row r="102" spans="1:3" x14ac:dyDescent="0.25">
      <c r="A102" s="17" t="s">
        <v>65</v>
      </c>
      <c r="C102" s="17">
        <v>0</v>
      </c>
    </row>
    <row r="103" spans="1:3" x14ac:dyDescent="0.25">
      <c r="A103" s="17" t="s">
        <v>134</v>
      </c>
      <c r="C103" s="17">
        <v>0</v>
      </c>
    </row>
    <row r="104" spans="1:3" x14ac:dyDescent="0.25">
      <c r="A104" s="17" t="s">
        <v>134</v>
      </c>
      <c r="C104" s="17">
        <v>0</v>
      </c>
    </row>
    <row r="105" spans="1:3" x14ac:dyDescent="0.25">
      <c r="A105" s="17" t="s">
        <v>113</v>
      </c>
      <c r="C105" s="17">
        <v>0</v>
      </c>
    </row>
  </sheetData>
  <sortState xmlns:xlrd2="http://schemas.microsoft.com/office/spreadsheetml/2017/richdata2" ref="A2:N105">
    <sortCondition descending="1" ref="C2:C10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BD66-D6D0-48A6-8287-E7D44D717A54}">
  <dimension ref="A1:F26"/>
  <sheetViews>
    <sheetView tabSelected="1" workbookViewId="0">
      <selection activeCell="A18" sqref="A18"/>
    </sheetView>
  </sheetViews>
  <sheetFormatPr defaultRowHeight="15" x14ac:dyDescent="0.25"/>
  <cols>
    <col min="1" max="1" width="36.42578125" style="15" bestFit="1" customWidth="1"/>
    <col min="2" max="2" width="10.42578125" style="15" bestFit="1" customWidth="1"/>
    <col min="3" max="3" width="2.5703125" style="15" customWidth="1"/>
    <col min="4" max="4" width="36.42578125" style="15" bestFit="1" customWidth="1"/>
    <col min="5" max="5" width="16.140625" style="15" bestFit="1" customWidth="1"/>
    <col min="6" max="6" width="15.7109375" style="15" bestFit="1" customWidth="1"/>
    <col min="7" max="16384" width="9.140625" style="15"/>
  </cols>
  <sheetData>
    <row r="1" spans="1:6" x14ac:dyDescent="0.25">
      <c r="A1" s="17" t="s">
        <v>176</v>
      </c>
      <c r="B1" s="17" t="s">
        <v>177</v>
      </c>
      <c r="D1" s="17" t="s">
        <v>6</v>
      </c>
      <c r="E1" s="17" t="s">
        <v>5</v>
      </c>
      <c r="F1" s="17" t="s">
        <v>8</v>
      </c>
    </row>
    <row r="2" spans="1:6" x14ac:dyDescent="0.25">
      <c r="A2" s="17" t="s">
        <v>149</v>
      </c>
      <c r="B2" s="17">
        <v>6053</v>
      </c>
      <c r="D2" s="17" t="s">
        <v>135</v>
      </c>
      <c r="E2" s="17" t="s">
        <v>143</v>
      </c>
      <c r="F2" s="17">
        <v>732</v>
      </c>
    </row>
    <row r="3" spans="1:6" x14ac:dyDescent="0.25">
      <c r="A3" s="17" t="s">
        <v>113</v>
      </c>
      <c r="B3" s="17">
        <v>6046</v>
      </c>
      <c r="D3" s="17" t="s">
        <v>113</v>
      </c>
      <c r="E3" s="17" t="s">
        <v>125</v>
      </c>
      <c r="F3" s="17">
        <v>727</v>
      </c>
    </row>
    <row r="4" spans="1:6" x14ac:dyDescent="0.25">
      <c r="A4" s="17" t="s">
        <v>158</v>
      </c>
      <c r="B4" s="17">
        <v>5878</v>
      </c>
      <c r="D4" s="17" t="s">
        <v>149</v>
      </c>
      <c r="E4" s="17" t="s">
        <v>150</v>
      </c>
      <c r="F4" s="17">
        <v>720</v>
      </c>
    </row>
    <row r="5" spans="1:6" x14ac:dyDescent="0.25">
      <c r="A5" s="17" t="s">
        <v>34</v>
      </c>
      <c r="B5" s="17">
        <v>5845</v>
      </c>
      <c r="D5" s="17" t="s">
        <v>149</v>
      </c>
      <c r="E5" s="17" t="s">
        <v>154</v>
      </c>
      <c r="F5" s="17">
        <v>707</v>
      </c>
    </row>
    <row r="6" spans="1:6" x14ac:dyDescent="0.25">
      <c r="A6" s="17" t="s">
        <v>135</v>
      </c>
      <c r="B6" s="17">
        <v>5802</v>
      </c>
      <c r="D6" s="17" t="s">
        <v>113</v>
      </c>
      <c r="E6" s="17" t="s">
        <v>126</v>
      </c>
      <c r="F6" s="17">
        <v>705</v>
      </c>
    </row>
    <row r="7" spans="1:6" x14ac:dyDescent="0.25">
      <c r="A7" s="17" t="s">
        <v>97</v>
      </c>
      <c r="B7" s="17">
        <v>5768</v>
      </c>
      <c r="D7" s="17" t="s">
        <v>135</v>
      </c>
      <c r="E7" s="17" t="s">
        <v>146</v>
      </c>
      <c r="F7" s="17">
        <v>702</v>
      </c>
    </row>
    <row r="8" spans="1:6" x14ac:dyDescent="0.25">
      <c r="A8" s="17" t="s">
        <v>9</v>
      </c>
      <c r="B8" s="17">
        <v>5660</v>
      </c>
      <c r="D8" s="17" t="s">
        <v>149</v>
      </c>
      <c r="E8" s="17" t="s">
        <v>153</v>
      </c>
      <c r="F8" s="17">
        <v>699</v>
      </c>
    </row>
    <row r="9" spans="1:6" x14ac:dyDescent="0.25">
      <c r="A9" s="17" t="s">
        <v>46</v>
      </c>
      <c r="B9" s="17">
        <v>5510</v>
      </c>
      <c r="D9" s="17" t="s">
        <v>34</v>
      </c>
      <c r="E9" s="17" t="s">
        <v>52</v>
      </c>
      <c r="F9" s="17">
        <v>696</v>
      </c>
    </row>
    <row r="10" spans="1:6" x14ac:dyDescent="0.25">
      <c r="A10" s="17" t="s">
        <v>134</v>
      </c>
      <c r="B10" s="17">
        <v>5395</v>
      </c>
      <c r="D10" s="17" t="s">
        <v>97</v>
      </c>
      <c r="E10" s="17" t="s">
        <v>110</v>
      </c>
      <c r="F10" s="17">
        <v>696</v>
      </c>
    </row>
    <row r="11" spans="1:6" x14ac:dyDescent="0.25">
      <c r="A11" s="17" t="s">
        <v>65</v>
      </c>
      <c r="B11" s="17">
        <v>5228</v>
      </c>
      <c r="D11" s="17" t="s">
        <v>9</v>
      </c>
      <c r="E11" s="17" t="s">
        <v>21</v>
      </c>
      <c r="F11" s="17">
        <v>694</v>
      </c>
    </row>
    <row r="12" spans="1:6" x14ac:dyDescent="0.25">
      <c r="A12" s="17" t="s">
        <v>78</v>
      </c>
      <c r="B12" s="17">
        <v>5212</v>
      </c>
      <c r="D12" s="17" t="s">
        <v>158</v>
      </c>
      <c r="E12" s="17" t="s">
        <v>165</v>
      </c>
      <c r="F12" s="17">
        <v>687</v>
      </c>
    </row>
    <row r="13" spans="1:6" x14ac:dyDescent="0.25">
      <c r="A13" s="17" t="s">
        <v>47</v>
      </c>
      <c r="B13" s="17">
        <v>5153</v>
      </c>
      <c r="D13" s="17" t="s">
        <v>46</v>
      </c>
      <c r="E13" s="17" t="s">
        <v>55</v>
      </c>
      <c r="F13" s="17">
        <v>683</v>
      </c>
    </row>
    <row r="14" spans="1:6" x14ac:dyDescent="0.25">
      <c r="A14" s="17" t="s">
        <v>85</v>
      </c>
      <c r="B14" s="17">
        <v>4501</v>
      </c>
      <c r="D14" s="17" t="s">
        <v>134</v>
      </c>
      <c r="E14" s="17" t="s">
        <v>127</v>
      </c>
      <c r="F14" s="17">
        <v>681</v>
      </c>
    </row>
    <row r="15" spans="1:6" x14ac:dyDescent="0.25">
      <c r="D15" s="17" t="s">
        <v>158</v>
      </c>
      <c r="E15" s="17" t="s">
        <v>157</v>
      </c>
      <c r="F15" s="17">
        <v>676</v>
      </c>
    </row>
    <row r="16" spans="1:6" x14ac:dyDescent="0.25">
      <c r="D16" s="17" t="s">
        <v>113</v>
      </c>
      <c r="E16" s="17" t="s">
        <v>128</v>
      </c>
      <c r="F16" s="17">
        <v>670</v>
      </c>
    </row>
    <row r="17" spans="4:6" x14ac:dyDescent="0.25">
      <c r="D17" s="17" t="s">
        <v>134</v>
      </c>
      <c r="E17" s="17" t="s">
        <v>129</v>
      </c>
      <c r="F17" s="17">
        <v>662</v>
      </c>
    </row>
    <row r="18" spans="4:6" x14ac:dyDescent="0.25">
      <c r="D18" s="17" t="s">
        <v>34</v>
      </c>
      <c r="E18" s="17" t="s">
        <v>48</v>
      </c>
      <c r="F18" s="17">
        <v>660</v>
      </c>
    </row>
    <row r="19" spans="4:6" x14ac:dyDescent="0.25">
      <c r="D19" s="17" t="s">
        <v>65</v>
      </c>
      <c r="E19" s="17" t="s">
        <v>75</v>
      </c>
      <c r="F19" s="17">
        <v>660</v>
      </c>
    </row>
    <row r="20" spans="4:6" x14ac:dyDescent="0.25">
      <c r="D20" s="17" t="s">
        <v>149</v>
      </c>
      <c r="E20" s="17" t="s">
        <v>151</v>
      </c>
      <c r="F20" s="17">
        <v>651</v>
      </c>
    </row>
    <row r="21" spans="4:6" x14ac:dyDescent="0.25">
      <c r="D21" s="17" t="s">
        <v>65</v>
      </c>
      <c r="E21" s="17" t="s">
        <v>73</v>
      </c>
      <c r="F21" s="17">
        <v>646</v>
      </c>
    </row>
    <row r="22" spans="4:6" x14ac:dyDescent="0.25">
      <c r="D22" s="17" t="s">
        <v>78</v>
      </c>
      <c r="E22" s="17" t="s">
        <v>86</v>
      </c>
      <c r="F22" s="17">
        <v>644</v>
      </c>
    </row>
    <row r="23" spans="4:6" x14ac:dyDescent="0.25">
      <c r="D23" s="17" t="s">
        <v>135</v>
      </c>
      <c r="E23" s="17" t="s">
        <v>145</v>
      </c>
      <c r="F23" s="17">
        <v>640</v>
      </c>
    </row>
    <row r="24" spans="4:6" x14ac:dyDescent="0.25">
      <c r="D24" s="17" t="s">
        <v>47</v>
      </c>
      <c r="E24" s="17" t="s">
        <v>60</v>
      </c>
      <c r="F24" s="17">
        <v>630</v>
      </c>
    </row>
    <row r="25" spans="4:6" x14ac:dyDescent="0.25">
      <c r="D25" s="17" t="s">
        <v>134</v>
      </c>
      <c r="E25" s="17" t="s">
        <v>130</v>
      </c>
      <c r="F25" s="17">
        <v>623</v>
      </c>
    </row>
    <row r="26" spans="4:6" x14ac:dyDescent="0.25">
      <c r="D26" s="17" t="s">
        <v>85</v>
      </c>
      <c r="E26" s="17" t="s">
        <v>94</v>
      </c>
      <c r="F26" s="17">
        <v>620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workbookViewId="0"/>
  </sheetViews>
  <sheetFormatPr defaultColWidth="17" defaultRowHeight="15" x14ac:dyDescent="0.25"/>
  <cols>
    <col min="1" max="1" width="36.42578125" style="5" bestFit="1" customWidth="1"/>
    <col min="2" max="2" width="20.42578125" style="5" bestFit="1" customWidth="1"/>
    <col min="3" max="6" width="7.5703125" style="5" bestFit="1" customWidth="1"/>
    <col min="7" max="7" width="15.7109375" style="5" bestFit="1" customWidth="1"/>
    <col min="8" max="8" width="2" style="5" customWidth="1"/>
    <col min="9" max="9" width="11.140625" style="5" bestFit="1" customWidth="1"/>
    <col min="10" max="10" width="10.7109375" style="5" bestFit="1" customWidth="1"/>
    <col min="11" max="11" width="36.42578125" style="5" bestFit="1" customWidth="1"/>
    <col min="12" max="12" width="10.42578125" style="5" bestFit="1" customWidth="1"/>
    <col min="13" max="16384" width="17" style="5"/>
  </cols>
  <sheetData>
    <row r="1" spans="1:12" x14ac:dyDescent="0.25">
      <c r="A1" s="4" t="s">
        <v>6</v>
      </c>
      <c r="B1" s="4" t="s">
        <v>5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8</v>
      </c>
      <c r="H1" s="4"/>
      <c r="I1" s="4" t="s">
        <v>7</v>
      </c>
      <c r="J1" s="4" t="s">
        <v>3</v>
      </c>
      <c r="K1" s="4" t="s">
        <v>176</v>
      </c>
      <c r="L1" s="4" t="s">
        <v>177</v>
      </c>
    </row>
    <row r="2" spans="1:12" x14ac:dyDescent="0.25">
      <c r="A2" s="12" t="s">
        <v>78</v>
      </c>
      <c r="B2" s="12" t="s">
        <v>79</v>
      </c>
      <c r="C2" s="12"/>
      <c r="D2" s="12">
        <v>149</v>
      </c>
      <c r="E2" s="12">
        <v>147</v>
      </c>
      <c r="F2" s="12">
        <v>150</v>
      </c>
      <c r="G2" s="12">
        <f t="shared" ref="G2:G33" si="0">SUM(C2:F2)</f>
        <v>446</v>
      </c>
      <c r="H2" s="12"/>
      <c r="I2" s="12" t="s">
        <v>0</v>
      </c>
      <c r="J2" s="12">
        <f>SUM(C2:C9)</f>
        <v>944</v>
      </c>
      <c r="K2" s="12" t="str">
        <f>A2</f>
        <v>Cumberland - Varsity</v>
      </c>
      <c r="L2" s="12">
        <f>SUM(J2:J9)</f>
        <v>6330</v>
      </c>
    </row>
    <row r="3" spans="1:12" x14ac:dyDescent="0.25">
      <c r="A3" s="12" t="s">
        <v>78</v>
      </c>
      <c r="B3" s="12" t="s">
        <v>80</v>
      </c>
      <c r="C3" s="12">
        <v>241</v>
      </c>
      <c r="D3" s="12">
        <v>199</v>
      </c>
      <c r="E3" s="12">
        <v>199</v>
      </c>
      <c r="F3" s="12">
        <v>192</v>
      </c>
      <c r="G3" s="12">
        <f t="shared" si="0"/>
        <v>831</v>
      </c>
      <c r="H3" s="12"/>
      <c r="I3" s="12" t="s">
        <v>1</v>
      </c>
      <c r="J3" s="12">
        <f>SUM(D2:D9)</f>
        <v>882</v>
      </c>
      <c r="K3" s="12"/>
      <c r="L3" s="12"/>
    </row>
    <row r="4" spans="1:12" x14ac:dyDescent="0.25">
      <c r="A4" s="12" t="s">
        <v>78</v>
      </c>
      <c r="B4" s="12" t="s">
        <v>81</v>
      </c>
      <c r="C4" s="12"/>
      <c r="D4" s="12"/>
      <c r="E4" s="12"/>
      <c r="F4" s="12"/>
      <c r="G4" s="12">
        <f t="shared" si="0"/>
        <v>0</v>
      </c>
      <c r="H4" s="12"/>
      <c r="I4" s="12" t="s">
        <v>2</v>
      </c>
      <c r="J4" s="12">
        <f>SUM(E2:E9)</f>
        <v>819</v>
      </c>
      <c r="K4" s="12"/>
      <c r="L4" s="12"/>
    </row>
    <row r="5" spans="1:12" x14ac:dyDescent="0.25">
      <c r="A5" s="12" t="s">
        <v>78</v>
      </c>
      <c r="B5" s="12" t="s">
        <v>82</v>
      </c>
      <c r="C5" s="12">
        <v>171</v>
      </c>
      <c r="D5" s="12">
        <v>183</v>
      </c>
      <c r="E5" s="12">
        <v>136</v>
      </c>
      <c r="F5" s="12">
        <v>187</v>
      </c>
      <c r="G5" s="12">
        <f t="shared" si="0"/>
        <v>677</v>
      </c>
      <c r="H5" s="12"/>
      <c r="I5" s="12" t="s">
        <v>4</v>
      </c>
      <c r="J5" s="12">
        <f>SUM(F2:F9)</f>
        <v>907</v>
      </c>
      <c r="K5" s="12"/>
      <c r="L5" s="12"/>
    </row>
    <row r="6" spans="1:12" x14ac:dyDescent="0.25">
      <c r="A6" s="12" t="s">
        <v>78</v>
      </c>
      <c r="B6" s="12" t="s">
        <v>83</v>
      </c>
      <c r="C6" s="12">
        <v>138</v>
      </c>
      <c r="D6" s="12">
        <v>162</v>
      </c>
      <c r="E6" s="12">
        <v>187</v>
      </c>
      <c r="F6" s="12">
        <v>229</v>
      </c>
      <c r="G6" s="12">
        <f t="shared" si="0"/>
        <v>716</v>
      </c>
      <c r="H6" s="12"/>
      <c r="I6" s="12" t="s">
        <v>11</v>
      </c>
      <c r="J6" s="12">
        <f>131+224+198+158</f>
        <v>711</v>
      </c>
      <c r="K6" s="12"/>
      <c r="L6" s="12"/>
    </row>
    <row r="7" spans="1:12" x14ac:dyDescent="0.25">
      <c r="A7" s="12" t="s">
        <v>78</v>
      </c>
      <c r="B7" s="12" t="s">
        <v>84</v>
      </c>
      <c r="C7" s="12">
        <v>280</v>
      </c>
      <c r="D7" s="12">
        <v>189</v>
      </c>
      <c r="E7" s="12">
        <v>150</v>
      </c>
      <c r="F7" s="12">
        <v>149</v>
      </c>
      <c r="G7" s="12">
        <f t="shared" si="0"/>
        <v>768</v>
      </c>
      <c r="H7" s="12"/>
      <c r="I7" s="12" t="s">
        <v>12</v>
      </c>
      <c r="J7" s="12">
        <f>163+170+162+179</f>
        <v>674</v>
      </c>
      <c r="K7" s="12"/>
      <c r="L7" s="12"/>
    </row>
    <row r="8" spans="1:12" x14ac:dyDescent="0.25">
      <c r="A8" s="12" t="s">
        <v>78</v>
      </c>
      <c r="B8" s="12" t="s">
        <v>174</v>
      </c>
      <c r="C8" s="12">
        <v>114</v>
      </c>
      <c r="D8" s="12"/>
      <c r="E8" s="12"/>
      <c r="F8" s="12"/>
      <c r="G8" s="12">
        <f t="shared" si="0"/>
        <v>114</v>
      </c>
      <c r="H8" s="12"/>
      <c r="I8" s="12" t="s">
        <v>13</v>
      </c>
      <c r="J8" s="12">
        <f>236+176+157+194</f>
        <v>763</v>
      </c>
      <c r="K8" s="12"/>
      <c r="L8" s="12"/>
    </row>
    <row r="9" spans="1:12" x14ac:dyDescent="0.25">
      <c r="A9" s="12" t="s">
        <v>78</v>
      </c>
      <c r="B9" s="12"/>
      <c r="C9" s="12"/>
      <c r="D9" s="12"/>
      <c r="E9" s="12"/>
      <c r="F9" s="12"/>
      <c r="G9" s="12">
        <f t="shared" si="0"/>
        <v>0</v>
      </c>
      <c r="H9" s="12"/>
      <c r="I9" s="12" t="s">
        <v>175</v>
      </c>
      <c r="J9" s="12">
        <f>134+172+161+163</f>
        <v>630</v>
      </c>
      <c r="K9" s="12"/>
      <c r="L9" s="12"/>
    </row>
    <row r="10" spans="1:12" x14ac:dyDescent="0.25">
      <c r="A10" s="6" t="s">
        <v>40</v>
      </c>
      <c r="B10" s="6" t="s">
        <v>41</v>
      </c>
      <c r="C10" s="7">
        <v>116</v>
      </c>
      <c r="D10" s="7">
        <v>126</v>
      </c>
      <c r="E10" s="7">
        <v>126</v>
      </c>
      <c r="F10" s="7">
        <v>155</v>
      </c>
      <c r="G10" s="7">
        <f t="shared" si="0"/>
        <v>523</v>
      </c>
      <c r="H10" s="7"/>
      <c r="I10" s="7" t="s">
        <v>0</v>
      </c>
      <c r="J10" s="7">
        <f>SUM(C10:C17)</f>
        <v>853</v>
      </c>
      <c r="K10" s="6" t="str">
        <f>A10</f>
        <v>Huntington - JV</v>
      </c>
      <c r="L10" s="6">
        <f>SUM(J10:J17)</f>
        <v>6594</v>
      </c>
    </row>
    <row r="11" spans="1:12" x14ac:dyDescent="0.25">
      <c r="A11" s="6" t="s">
        <v>40</v>
      </c>
      <c r="B11" s="6" t="s">
        <v>42</v>
      </c>
      <c r="C11" s="7">
        <v>189</v>
      </c>
      <c r="D11" s="7">
        <v>161</v>
      </c>
      <c r="E11" s="7">
        <v>219</v>
      </c>
      <c r="F11" s="7">
        <v>170</v>
      </c>
      <c r="G11" s="7">
        <f t="shared" si="0"/>
        <v>739</v>
      </c>
      <c r="H11" s="7"/>
      <c r="I11" s="7" t="s">
        <v>1</v>
      </c>
      <c r="J11" s="7">
        <f>SUM(D10:D17)</f>
        <v>846</v>
      </c>
      <c r="K11" s="6"/>
      <c r="L11" s="6"/>
    </row>
    <row r="12" spans="1:12" x14ac:dyDescent="0.25">
      <c r="A12" s="6" t="s">
        <v>40</v>
      </c>
      <c r="B12" s="6" t="s">
        <v>43</v>
      </c>
      <c r="C12" s="7">
        <v>199</v>
      </c>
      <c r="D12" s="7">
        <v>244</v>
      </c>
      <c r="E12" s="7">
        <v>290</v>
      </c>
      <c r="F12" s="7">
        <v>183</v>
      </c>
      <c r="G12" s="7">
        <f t="shared" si="0"/>
        <v>916</v>
      </c>
      <c r="H12" s="7"/>
      <c r="I12" s="7" t="s">
        <v>2</v>
      </c>
      <c r="J12" s="7">
        <f>SUM(E10:E17)</f>
        <v>990</v>
      </c>
      <c r="K12" s="6"/>
      <c r="L12" s="6"/>
    </row>
    <row r="13" spans="1:12" x14ac:dyDescent="0.25">
      <c r="A13" s="6" t="s">
        <v>40</v>
      </c>
      <c r="B13" s="6" t="s">
        <v>44</v>
      </c>
      <c r="C13" s="7">
        <v>158</v>
      </c>
      <c r="D13" s="7">
        <v>144</v>
      </c>
      <c r="E13" s="7">
        <v>161</v>
      </c>
      <c r="F13" s="7">
        <v>181</v>
      </c>
      <c r="G13" s="7">
        <f t="shared" si="0"/>
        <v>644</v>
      </c>
      <c r="H13" s="7"/>
      <c r="I13" s="7" t="s">
        <v>4</v>
      </c>
      <c r="J13" s="7">
        <f>SUM(F10:F17)</f>
        <v>884</v>
      </c>
      <c r="K13" s="6"/>
      <c r="L13" s="6"/>
    </row>
    <row r="14" spans="1:12" x14ac:dyDescent="0.25">
      <c r="A14" s="6" t="s">
        <v>40</v>
      </c>
      <c r="B14" s="6" t="s">
        <v>45</v>
      </c>
      <c r="C14" s="7">
        <v>191</v>
      </c>
      <c r="D14" s="7">
        <v>171</v>
      </c>
      <c r="E14" s="7">
        <v>194</v>
      </c>
      <c r="F14" s="7">
        <v>195</v>
      </c>
      <c r="G14" s="7">
        <f t="shared" si="0"/>
        <v>751</v>
      </c>
      <c r="H14" s="7"/>
      <c r="I14" s="7" t="s">
        <v>11</v>
      </c>
      <c r="J14" s="7">
        <f>180+214+230+207</f>
        <v>831</v>
      </c>
      <c r="K14" s="6"/>
      <c r="L14" s="6"/>
    </row>
    <row r="15" spans="1:12" x14ac:dyDescent="0.25">
      <c r="A15" s="6" t="s">
        <v>40</v>
      </c>
      <c r="B15" s="6"/>
      <c r="C15" s="7"/>
      <c r="D15" s="7"/>
      <c r="E15" s="7"/>
      <c r="F15" s="7"/>
      <c r="G15" s="7">
        <f t="shared" si="0"/>
        <v>0</v>
      </c>
      <c r="H15" s="7"/>
      <c r="I15" s="7" t="s">
        <v>12</v>
      </c>
      <c r="J15" s="7">
        <f>192+202+204+157</f>
        <v>755</v>
      </c>
      <c r="K15" s="6"/>
      <c r="L15" s="6"/>
    </row>
    <row r="16" spans="1:12" x14ac:dyDescent="0.25">
      <c r="A16" s="6" t="s">
        <v>40</v>
      </c>
      <c r="B16" s="6"/>
      <c r="C16" s="7"/>
      <c r="D16" s="7"/>
      <c r="E16" s="7"/>
      <c r="F16" s="7"/>
      <c r="G16" s="7">
        <f t="shared" si="0"/>
        <v>0</v>
      </c>
      <c r="H16" s="7"/>
      <c r="I16" s="7" t="s">
        <v>13</v>
      </c>
      <c r="J16" s="7">
        <f>201+126+200+178</f>
        <v>705</v>
      </c>
      <c r="K16" s="6"/>
      <c r="L16" s="6"/>
    </row>
    <row r="17" spans="1:12" x14ac:dyDescent="0.25">
      <c r="A17" s="6" t="s">
        <v>40</v>
      </c>
      <c r="B17" s="6"/>
      <c r="C17" s="7"/>
      <c r="D17" s="7"/>
      <c r="E17" s="7"/>
      <c r="F17" s="7"/>
      <c r="G17" s="7">
        <f t="shared" si="0"/>
        <v>0</v>
      </c>
      <c r="H17" s="7"/>
      <c r="I17" s="7" t="s">
        <v>175</v>
      </c>
      <c r="J17" s="7">
        <v>730</v>
      </c>
      <c r="K17" s="6"/>
      <c r="L17" s="6"/>
    </row>
    <row r="18" spans="1:12" x14ac:dyDescent="0.25">
      <c r="A18" s="3" t="s">
        <v>34</v>
      </c>
      <c r="B18" s="3" t="s">
        <v>35</v>
      </c>
      <c r="C18" s="3">
        <v>200</v>
      </c>
      <c r="D18" s="3">
        <v>221</v>
      </c>
      <c r="E18" s="3">
        <v>192</v>
      </c>
      <c r="F18" s="3">
        <v>168</v>
      </c>
      <c r="G18" s="3">
        <f t="shared" si="0"/>
        <v>781</v>
      </c>
      <c r="H18" s="3"/>
      <c r="I18" s="3" t="s">
        <v>0</v>
      </c>
      <c r="J18" s="3">
        <f>SUM(C18:C25)</f>
        <v>932</v>
      </c>
      <c r="K18" s="3" t="str">
        <f>A18</f>
        <v>Huntington - Varsity</v>
      </c>
      <c r="L18" s="3">
        <f>SUM(J18:J25)</f>
        <v>6498</v>
      </c>
    </row>
    <row r="19" spans="1:12" x14ac:dyDescent="0.25">
      <c r="A19" s="3" t="s">
        <v>34</v>
      </c>
      <c r="B19" s="3" t="s">
        <v>36</v>
      </c>
      <c r="C19" s="3">
        <v>190</v>
      </c>
      <c r="D19" s="3">
        <v>206</v>
      </c>
      <c r="E19" s="3">
        <v>142</v>
      </c>
      <c r="F19" s="3">
        <v>135</v>
      </c>
      <c r="G19" s="3">
        <f t="shared" si="0"/>
        <v>673</v>
      </c>
      <c r="H19" s="3"/>
      <c r="I19" s="3" t="s">
        <v>1</v>
      </c>
      <c r="J19" s="3">
        <f>SUM(D18:D25)</f>
        <v>924</v>
      </c>
      <c r="K19" s="3"/>
      <c r="L19" s="3"/>
    </row>
    <row r="20" spans="1:12" x14ac:dyDescent="0.25">
      <c r="A20" s="3" t="s">
        <v>34</v>
      </c>
      <c r="B20" s="3" t="s">
        <v>37</v>
      </c>
      <c r="C20" s="3">
        <v>215</v>
      </c>
      <c r="D20" s="3">
        <v>203</v>
      </c>
      <c r="E20" s="3">
        <v>184</v>
      </c>
      <c r="F20" s="3">
        <v>137</v>
      </c>
      <c r="G20" s="3">
        <f t="shared" si="0"/>
        <v>739</v>
      </c>
      <c r="H20" s="3"/>
      <c r="I20" s="3" t="s">
        <v>2</v>
      </c>
      <c r="J20" s="3">
        <f>SUM(E18:E25)</f>
        <v>897</v>
      </c>
      <c r="K20" s="3"/>
      <c r="L20" s="3"/>
    </row>
    <row r="21" spans="1:12" x14ac:dyDescent="0.25">
      <c r="A21" s="3" t="s">
        <v>34</v>
      </c>
      <c r="B21" s="3" t="s">
        <v>38</v>
      </c>
      <c r="C21" s="3">
        <v>157</v>
      </c>
      <c r="D21" s="3">
        <v>182</v>
      </c>
      <c r="E21" s="3">
        <v>182</v>
      </c>
      <c r="F21" s="3">
        <v>157</v>
      </c>
      <c r="G21" s="3">
        <f t="shared" si="0"/>
        <v>678</v>
      </c>
      <c r="H21" s="3"/>
      <c r="I21" s="3" t="s">
        <v>4</v>
      </c>
      <c r="J21" s="3">
        <f>SUM(F18:F25)</f>
        <v>788</v>
      </c>
      <c r="K21" s="3"/>
      <c r="L21" s="3"/>
    </row>
    <row r="22" spans="1:12" x14ac:dyDescent="0.25">
      <c r="A22" s="3" t="s">
        <v>34</v>
      </c>
      <c r="B22" s="3" t="s">
        <v>39</v>
      </c>
      <c r="C22" s="3">
        <v>170</v>
      </c>
      <c r="D22" s="3">
        <v>112</v>
      </c>
      <c r="E22" s="3">
        <v>197</v>
      </c>
      <c r="F22" s="3">
        <v>191</v>
      </c>
      <c r="G22" s="3">
        <f t="shared" si="0"/>
        <v>670</v>
      </c>
      <c r="H22" s="3"/>
      <c r="I22" s="3" t="s">
        <v>11</v>
      </c>
      <c r="J22" s="3">
        <v>756</v>
      </c>
      <c r="K22" s="3"/>
      <c r="L22" s="3"/>
    </row>
    <row r="23" spans="1:12" x14ac:dyDescent="0.25">
      <c r="A23" s="3" t="s">
        <v>34</v>
      </c>
      <c r="B23" s="3"/>
      <c r="C23" s="3"/>
      <c r="D23" s="3"/>
      <c r="E23" s="3"/>
      <c r="F23" s="3"/>
      <c r="G23" s="3">
        <f t="shared" si="0"/>
        <v>0</v>
      </c>
      <c r="H23" s="3"/>
      <c r="I23" s="3" t="s">
        <v>12</v>
      </c>
      <c r="J23" s="3">
        <v>776</v>
      </c>
      <c r="K23" s="3"/>
      <c r="L23" s="3"/>
    </row>
    <row r="24" spans="1:12" x14ac:dyDescent="0.25">
      <c r="A24" s="3" t="s">
        <v>34</v>
      </c>
      <c r="B24" s="3"/>
      <c r="C24" s="3"/>
      <c r="D24" s="3"/>
      <c r="E24" s="3"/>
      <c r="F24" s="3"/>
      <c r="G24" s="3">
        <f t="shared" si="0"/>
        <v>0</v>
      </c>
      <c r="H24" s="3"/>
      <c r="I24" s="3" t="s">
        <v>13</v>
      </c>
      <c r="J24" s="3">
        <v>663</v>
      </c>
      <c r="K24" s="3"/>
      <c r="L24" s="3"/>
    </row>
    <row r="25" spans="1:12" x14ac:dyDescent="0.25">
      <c r="A25" s="3" t="s">
        <v>34</v>
      </c>
      <c r="B25" s="3"/>
      <c r="C25" s="3"/>
      <c r="D25" s="3"/>
      <c r="E25" s="3"/>
      <c r="F25" s="3"/>
      <c r="G25" s="3">
        <f t="shared" si="0"/>
        <v>0</v>
      </c>
      <c r="H25" s="3"/>
      <c r="I25" s="3" t="s">
        <v>175</v>
      </c>
      <c r="J25" s="3">
        <v>762</v>
      </c>
      <c r="K25" s="3"/>
      <c r="L25" s="3"/>
    </row>
    <row r="26" spans="1:12" x14ac:dyDescent="0.25">
      <c r="A26" s="8" t="s">
        <v>135</v>
      </c>
      <c r="B26" s="8" t="s">
        <v>136</v>
      </c>
      <c r="C26" s="7">
        <v>208</v>
      </c>
      <c r="D26" s="7">
        <v>185</v>
      </c>
      <c r="E26" s="7">
        <v>165</v>
      </c>
      <c r="F26" s="7">
        <v>233</v>
      </c>
      <c r="G26" s="7">
        <f t="shared" si="0"/>
        <v>791</v>
      </c>
      <c r="H26" s="7"/>
      <c r="I26" s="7" t="s">
        <v>0</v>
      </c>
      <c r="J26" s="7">
        <f>SUM(C26:C33)</f>
        <v>840</v>
      </c>
      <c r="K26" s="8" t="str">
        <f>A26</f>
        <v>Lincoln College - Varsity</v>
      </c>
      <c r="L26" s="8">
        <f>SUM(J26:J33)</f>
        <v>6204</v>
      </c>
    </row>
    <row r="27" spans="1:12" x14ac:dyDescent="0.25">
      <c r="A27" s="8" t="s">
        <v>135</v>
      </c>
      <c r="B27" s="8" t="s">
        <v>137</v>
      </c>
      <c r="C27" s="7">
        <v>221</v>
      </c>
      <c r="D27" s="7">
        <v>244</v>
      </c>
      <c r="E27" s="7">
        <v>199</v>
      </c>
      <c r="F27" s="7">
        <v>204</v>
      </c>
      <c r="G27" s="7">
        <f t="shared" si="0"/>
        <v>868</v>
      </c>
      <c r="H27" s="7"/>
      <c r="I27" s="7" t="s">
        <v>1</v>
      </c>
      <c r="J27" s="7">
        <f>SUM(D26:D33)</f>
        <v>842</v>
      </c>
      <c r="K27" s="8"/>
      <c r="L27" s="8"/>
    </row>
    <row r="28" spans="1:12" x14ac:dyDescent="0.25">
      <c r="A28" s="8" t="s">
        <v>135</v>
      </c>
      <c r="B28" s="8" t="s">
        <v>138</v>
      </c>
      <c r="C28" s="7">
        <v>128</v>
      </c>
      <c r="D28" s="7"/>
      <c r="E28" s="7">
        <v>229</v>
      </c>
      <c r="F28" s="7">
        <v>156</v>
      </c>
      <c r="G28" s="7">
        <f t="shared" si="0"/>
        <v>513</v>
      </c>
      <c r="H28" s="7"/>
      <c r="I28" s="7" t="s">
        <v>2</v>
      </c>
      <c r="J28" s="7">
        <f>SUM(E26:E33)</f>
        <v>905</v>
      </c>
      <c r="K28" s="8"/>
      <c r="L28" s="8"/>
    </row>
    <row r="29" spans="1:12" x14ac:dyDescent="0.25">
      <c r="A29" s="8" t="s">
        <v>135</v>
      </c>
      <c r="B29" s="8" t="s">
        <v>139</v>
      </c>
      <c r="C29" s="7"/>
      <c r="D29" s="7">
        <v>143</v>
      </c>
      <c r="E29" s="7">
        <v>137</v>
      </c>
      <c r="F29" s="7"/>
      <c r="G29" s="7">
        <f t="shared" si="0"/>
        <v>280</v>
      </c>
      <c r="H29" s="7"/>
      <c r="I29" s="7" t="s">
        <v>4</v>
      </c>
      <c r="J29" s="7">
        <f>SUM(F26:F33)</f>
        <v>883</v>
      </c>
      <c r="K29" s="8"/>
      <c r="L29" s="8"/>
    </row>
    <row r="30" spans="1:12" x14ac:dyDescent="0.25">
      <c r="A30" s="8" t="s">
        <v>135</v>
      </c>
      <c r="B30" s="8" t="s">
        <v>140</v>
      </c>
      <c r="C30" s="7"/>
      <c r="D30" s="7">
        <v>130</v>
      </c>
      <c r="E30" s="7"/>
      <c r="F30" s="7"/>
      <c r="G30" s="7">
        <f t="shared" si="0"/>
        <v>130</v>
      </c>
      <c r="H30" s="7"/>
      <c r="I30" s="7" t="s">
        <v>11</v>
      </c>
      <c r="J30" s="7">
        <f>169+196+157+170</f>
        <v>692</v>
      </c>
      <c r="K30" s="8"/>
      <c r="L30" s="8"/>
    </row>
    <row r="31" spans="1:12" x14ac:dyDescent="0.25">
      <c r="A31" s="8" t="s">
        <v>135</v>
      </c>
      <c r="B31" s="8" t="s">
        <v>141</v>
      </c>
      <c r="C31" s="7">
        <v>163</v>
      </c>
      <c r="D31" s="7">
        <v>140</v>
      </c>
      <c r="E31" s="7">
        <v>175</v>
      </c>
      <c r="F31" s="7">
        <v>177</v>
      </c>
      <c r="G31" s="7">
        <f t="shared" si="0"/>
        <v>655</v>
      </c>
      <c r="H31" s="7"/>
      <c r="I31" s="7" t="s">
        <v>12</v>
      </c>
      <c r="J31" s="7">
        <f>136+185+174+209</f>
        <v>704</v>
      </c>
      <c r="K31" s="8"/>
      <c r="L31" s="8"/>
    </row>
    <row r="32" spans="1:12" x14ac:dyDescent="0.25">
      <c r="A32" s="8" t="s">
        <v>135</v>
      </c>
      <c r="B32" s="8" t="s">
        <v>142</v>
      </c>
      <c r="C32" s="7">
        <v>120</v>
      </c>
      <c r="D32" s="7"/>
      <c r="E32" s="7"/>
      <c r="F32" s="7">
        <v>113</v>
      </c>
      <c r="G32" s="7">
        <f t="shared" si="0"/>
        <v>233</v>
      </c>
      <c r="H32" s="7"/>
      <c r="I32" s="7" t="s">
        <v>13</v>
      </c>
      <c r="J32" s="7">
        <f>162+178+153+136</f>
        <v>629</v>
      </c>
      <c r="K32" s="8"/>
      <c r="L32" s="8"/>
    </row>
    <row r="33" spans="1:12" x14ac:dyDescent="0.25">
      <c r="A33" s="8" t="s">
        <v>135</v>
      </c>
      <c r="B33" s="8"/>
      <c r="C33" s="7"/>
      <c r="D33" s="7"/>
      <c r="E33" s="7"/>
      <c r="F33" s="7"/>
      <c r="G33" s="7">
        <f t="shared" si="0"/>
        <v>0</v>
      </c>
      <c r="H33" s="7"/>
      <c r="I33" s="7" t="s">
        <v>175</v>
      </c>
      <c r="J33" s="7">
        <f>172+194+187+156</f>
        <v>709</v>
      </c>
      <c r="K33" s="8"/>
      <c r="L33" s="8"/>
    </row>
    <row r="34" spans="1:12" x14ac:dyDescent="0.25">
      <c r="A34" s="12" t="s">
        <v>149</v>
      </c>
      <c r="B34" s="12" t="s">
        <v>166</v>
      </c>
      <c r="C34" s="3">
        <v>213</v>
      </c>
      <c r="D34" s="3">
        <v>184</v>
      </c>
      <c r="E34" s="3">
        <v>234</v>
      </c>
      <c r="F34" s="3">
        <v>154</v>
      </c>
      <c r="G34" s="3">
        <f t="shared" ref="G34:G65" si="1">SUM(C34:F34)</f>
        <v>785</v>
      </c>
      <c r="H34" s="3"/>
      <c r="I34" s="3" t="s">
        <v>0</v>
      </c>
      <c r="J34" s="3">
        <f>SUM(C34:C41)</f>
        <v>834</v>
      </c>
      <c r="K34" s="12" t="str">
        <f>A34</f>
        <v>Lourdes University - Varsity</v>
      </c>
      <c r="L34" s="12">
        <f>SUM(J34:J41)</f>
        <v>6536</v>
      </c>
    </row>
    <row r="35" spans="1:12" x14ac:dyDescent="0.25">
      <c r="A35" s="12" t="s">
        <v>149</v>
      </c>
      <c r="B35" s="12" t="s">
        <v>167</v>
      </c>
      <c r="C35" s="3">
        <v>166</v>
      </c>
      <c r="D35" s="3">
        <v>190</v>
      </c>
      <c r="E35" s="3">
        <v>132</v>
      </c>
      <c r="F35" s="3">
        <v>219</v>
      </c>
      <c r="G35" s="3">
        <f t="shared" si="1"/>
        <v>707</v>
      </c>
      <c r="H35" s="3"/>
      <c r="I35" s="3" t="s">
        <v>1</v>
      </c>
      <c r="J35" s="3">
        <f>SUM(D34:D41)</f>
        <v>801</v>
      </c>
      <c r="K35" s="12"/>
      <c r="L35" s="12"/>
    </row>
    <row r="36" spans="1:12" x14ac:dyDescent="0.25">
      <c r="A36" s="12" t="s">
        <v>149</v>
      </c>
      <c r="B36" s="12" t="s">
        <v>168</v>
      </c>
      <c r="C36" s="3">
        <v>165</v>
      </c>
      <c r="D36" s="3">
        <v>146</v>
      </c>
      <c r="E36" s="3">
        <v>183</v>
      </c>
      <c r="F36" s="3">
        <v>216</v>
      </c>
      <c r="G36" s="3">
        <f t="shared" si="1"/>
        <v>710</v>
      </c>
      <c r="H36" s="3"/>
      <c r="I36" s="3" t="s">
        <v>2</v>
      </c>
      <c r="J36" s="3">
        <f>SUM(E34:E41)</f>
        <v>874</v>
      </c>
      <c r="K36" s="12"/>
      <c r="L36" s="12"/>
    </row>
    <row r="37" spans="1:12" x14ac:dyDescent="0.25">
      <c r="A37" s="12" t="s">
        <v>149</v>
      </c>
      <c r="B37" s="12" t="s">
        <v>169</v>
      </c>
      <c r="C37" s="3"/>
      <c r="D37" s="3"/>
      <c r="E37" s="3">
        <v>152</v>
      </c>
      <c r="F37" s="3">
        <v>199</v>
      </c>
      <c r="G37" s="3">
        <f t="shared" si="1"/>
        <v>351</v>
      </c>
      <c r="H37" s="3"/>
      <c r="I37" s="3" t="s">
        <v>4</v>
      </c>
      <c r="J37" s="3">
        <f>SUM(F34:F41)</f>
        <v>979</v>
      </c>
      <c r="K37" s="12"/>
      <c r="L37" s="12"/>
    </row>
    <row r="38" spans="1:12" x14ac:dyDescent="0.25">
      <c r="A38" s="12" t="s">
        <v>149</v>
      </c>
      <c r="B38" s="12" t="s">
        <v>170</v>
      </c>
      <c r="C38" s="3"/>
      <c r="D38" s="3">
        <v>154</v>
      </c>
      <c r="E38" s="3"/>
      <c r="F38" s="3"/>
      <c r="G38" s="3">
        <f t="shared" si="1"/>
        <v>154</v>
      </c>
      <c r="H38" s="3"/>
      <c r="I38" s="3" t="s">
        <v>11</v>
      </c>
      <c r="J38" s="3">
        <f>223+180+172+184</f>
        <v>759</v>
      </c>
      <c r="K38" s="12"/>
      <c r="L38" s="12"/>
    </row>
    <row r="39" spans="1:12" x14ac:dyDescent="0.25">
      <c r="A39" s="12" t="s">
        <v>149</v>
      </c>
      <c r="B39" s="12" t="s">
        <v>171</v>
      </c>
      <c r="C39" s="3"/>
      <c r="D39" s="3"/>
      <c r="E39" s="3"/>
      <c r="F39" s="3"/>
      <c r="G39" s="3">
        <f t="shared" si="1"/>
        <v>0</v>
      </c>
      <c r="H39" s="3"/>
      <c r="I39" s="3" t="s">
        <v>12</v>
      </c>
      <c r="J39" s="3">
        <f>198+247+243+160</f>
        <v>848</v>
      </c>
      <c r="K39" s="12"/>
      <c r="L39" s="12"/>
    </row>
    <row r="40" spans="1:12" x14ac:dyDescent="0.25">
      <c r="A40" s="12" t="s">
        <v>149</v>
      </c>
      <c r="B40" s="12" t="s">
        <v>172</v>
      </c>
      <c r="C40" s="3">
        <v>152</v>
      </c>
      <c r="D40" s="3">
        <v>127</v>
      </c>
      <c r="E40" s="3">
        <v>173</v>
      </c>
      <c r="F40" s="3">
        <v>191</v>
      </c>
      <c r="G40" s="3">
        <f t="shared" si="1"/>
        <v>643</v>
      </c>
      <c r="H40" s="3"/>
      <c r="I40" s="3" t="s">
        <v>13</v>
      </c>
      <c r="J40" s="3">
        <f>192+153+176+227</f>
        <v>748</v>
      </c>
      <c r="K40" s="12"/>
      <c r="L40" s="12"/>
    </row>
    <row r="41" spans="1:12" x14ac:dyDescent="0.25">
      <c r="A41" s="12" t="s">
        <v>149</v>
      </c>
      <c r="B41" s="12" t="s">
        <v>173</v>
      </c>
      <c r="C41" s="3">
        <v>138</v>
      </c>
      <c r="D41" s="3"/>
      <c r="E41" s="3"/>
      <c r="F41" s="3"/>
      <c r="G41" s="3">
        <f t="shared" si="1"/>
        <v>138</v>
      </c>
      <c r="H41" s="3"/>
      <c r="I41" s="3" t="s">
        <v>175</v>
      </c>
      <c r="J41" s="3">
        <f>162+147+190+194</f>
        <v>693</v>
      </c>
      <c r="K41" s="12"/>
      <c r="L41" s="12"/>
    </row>
    <row r="42" spans="1:12" x14ac:dyDescent="0.25">
      <c r="A42" s="9" t="s">
        <v>27</v>
      </c>
      <c r="B42" s="9" t="s">
        <v>28</v>
      </c>
      <c r="C42" s="7">
        <v>158</v>
      </c>
      <c r="D42" s="7">
        <v>187</v>
      </c>
      <c r="E42" s="7">
        <v>158</v>
      </c>
      <c r="F42" s="7">
        <v>178</v>
      </c>
      <c r="G42" s="7">
        <f t="shared" si="1"/>
        <v>681</v>
      </c>
      <c r="H42" s="7"/>
      <c r="I42" s="7" t="s">
        <v>0</v>
      </c>
      <c r="J42" s="7">
        <f>SUM(C42:C49)</f>
        <v>686</v>
      </c>
      <c r="K42" s="9" t="str">
        <f>A42</f>
        <v>Midway - JV</v>
      </c>
      <c r="L42" s="9">
        <f>SUM(J42:J49)</f>
        <v>5516</v>
      </c>
    </row>
    <row r="43" spans="1:12" x14ac:dyDescent="0.25">
      <c r="A43" s="9" t="s">
        <v>27</v>
      </c>
      <c r="B43" s="9" t="s">
        <v>29</v>
      </c>
      <c r="C43" s="7">
        <v>146</v>
      </c>
      <c r="D43" s="7">
        <v>135</v>
      </c>
      <c r="E43" s="7">
        <v>152</v>
      </c>
      <c r="F43" s="7">
        <v>178</v>
      </c>
      <c r="G43" s="7">
        <f t="shared" si="1"/>
        <v>611</v>
      </c>
      <c r="H43" s="7"/>
      <c r="I43" s="7" t="s">
        <v>1</v>
      </c>
      <c r="J43" s="7">
        <f>SUM(D42:D49)</f>
        <v>803</v>
      </c>
      <c r="K43" s="9"/>
      <c r="L43" s="9"/>
    </row>
    <row r="44" spans="1:12" x14ac:dyDescent="0.25">
      <c r="A44" s="9" t="s">
        <v>27</v>
      </c>
      <c r="B44" s="9" t="s">
        <v>30</v>
      </c>
      <c r="C44" s="7">
        <v>126</v>
      </c>
      <c r="D44" s="7">
        <v>135</v>
      </c>
      <c r="E44" s="7">
        <v>138</v>
      </c>
      <c r="F44" s="7">
        <v>146</v>
      </c>
      <c r="G44" s="7">
        <f t="shared" si="1"/>
        <v>545</v>
      </c>
      <c r="H44" s="7"/>
      <c r="I44" s="7" t="s">
        <v>2</v>
      </c>
      <c r="J44" s="7">
        <f>SUM(E42:E49)</f>
        <v>721</v>
      </c>
      <c r="K44" s="9"/>
      <c r="L44" s="9"/>
    </row>
    <row r="45" spans="1:12" x14ac:dyDescent="0.25">
      <c r="A45" s="9" t="s">
        <v>27</v>
      </c>
      <c r="B45" s="9" t="s">
        <v>31</v>
      </c>
      <c r="C45" s="7">
        <v>123</v>
      </c>
      <c r="D45" s="7">
        <v>185</v>
      </c>
      <c r="E45" s="7">
        <v>139</v>
      </c>
      <c r="F45" s="7">
        <v>195</v>
      </c>
      <c r="G45" s="7">
        <f t="shared" si="1"/>
        <v>642</v>
      </c>
      <c r="H45" s="7"/>
      <c r="I45" s="7" t="s">
        <v>4</v>
      </c>
      <c r="J45" s="7">
        <f>SUM(F42:F49)</f>
        <v>822</v>
      </c>
      <c r="K45" s="9"/>
      <c r="L45" s="9"/>
    </row>
    <row r="46" spans="1:12" x14ac:dyDescent="0.25">
      <c r="A46" s="9" t="s">
        <v>27</v>
      </c>
      <c r="B46" s="9" t="s">
        <v>32</v>
      </c>
      <c r="C46" s="7">
        <v>133</v>
      </c>
      <c r="D46" s="7">
        <v>161</v>
      </c>
      <c r="E46" s="7">
        <v>134</v>
      </c>
      <c r="F46" s="7">
        <v>125</v>
      </c>
      <c r="G46" s="7">
        <f t="shared" si="1"/>
        <v>553</v>
      </c>
      <c r="H46" s="7"/>
      <c r="I46" s="7" t="s">
        <v>11</v>
      </c>
      <c r="J46" s="7">
        <f>614</f>
        <v>614</v>
      </c>
      <c r="K46" s="9"/>
      <c r="L46" s="9"/>
    </row>
    <row r="47" spans="1:12" x14ac:dyDescent="0.25">
      <c r="A47" s="9" t="s">
        <v>27</v>
      </c>
      <c r="B47" s="9"/>
      <c r="C47" s="7"/>
      <c r="D47" s="7"/>
      <c r="E47" s="7"/>
      <c r="F47" s="7"/>
      <c r="G47" s="7">
        <f t="shared" si="1"/>
        <v>0</v>
      </c>
      <c r="H47" s="7"/>
      <c r="I47" s="7" t="s">
        <v>12</v>
      </c>
      <c r="J47" s="7">
        <v>572</v>
      </c>
      <c r="K47" s="9"/>
      <c r="L47" s="9"/>
    </row>
    <row r="48" spans="1:12" x14ac:dyDescent="0.25">
      <c r="A48" s="9" t="s">
        <v>27</v>
      </c>
      <c r="B48" s="9"/>
      <c r="C48" s="7"/>
      <c r="D48" s="7"/>
      <c r="E48" s="7"/>
      <c r="F48" s="7"/>
      <c r="G48" s="7">
        <f t="shared" si="1"/>
        <v>0</v>
      </c>
      <c r="H48" s="7"/>
      <c r="I48" s="7" t="s">
        <v>13</v>
      </c>
      <c r="J48" s="7">
        <f>600</f>
        <v>600</v>
      </c>
      <c r="K48" s="9"/>
      <c r="L48" s="9"/>
    </row>
    <row r="49" spans="1:12" x14ac:dyDescent="0.25">
      <c r="A49" s="9" t="s">
        <v>27</v>
      </c>
      <c r="B49" s="9"/>
      <c r="C49" s="7"/>
      <c r="D49" s="7"/>
      <c r="E49" s="7"/>
      <c r="F49" s="7"/>
      <c r="G49" s="7">
        <f t="shared" si="1"/>
        <v>0</v>
      </c>
      <c r="H49" s="7"/>
      <c r="I49" s="7" t="s">
        <v>175</v>
      </c>
      <c r="J49" s="7">
        <v>698</v>
      </c>
      <c r="K49" s="9"/>
      <c r="L49" s="9"/>
    </row>
    <row r="50" spans="1:12" x14ac:dyDescent="0.25">
      <c r="A50" s="12" t="s">
        <v>9</v>
      </c>
      <c r="B50" s="12" t="s">
        <v>10</v>
      </c>
      <c r="C50" s="3">
        <v>192</v>
      </c>
      <c r="D50" s="3">
        <v>258</v>
      </c>
      <c r="E50" s="3">
        <v>171</v>
      </c>
      <c r="F50" s="3">
        <v>118</v>
      </c>
      <c r="G50" s="3">
        <f t="shared" si="1"/>
        <v>739</v>
      </c>
      <c r="H50" s="3"/>
      <c r="I50" s="3" t="s">
        <v>0</v>
      </c>
      <c r="J50" s="3">
        <f>SUM(C50:C57)</f>
        <v>913</v>
      </c>
      <c r="K50" s="12" t="str">
        <f>A50</f>
        <v>Midway - Varsity</v>
      </c>
      <c r="L50" s="12">
        <f>SUM(J50:J57)</f>
        <v>6437</v>
      </c>
    </row>
    <row r="51" spans="1:12" x14ac:dyDescent="0.25">
      <c r="A51" s="12" t="s">
        <v>9</v>
      </c>
      <c r="B51" s="12" t="s">
        <v>22</v>
      </c>
      <c r="C51" s="3">
        <v>179</v>
      </c>
      <c r="D51" s="3">
        <v>146</v>
      </c>
      <c r="E51" s="3"/>
      <c r="F51" s="3">
        <v>209</v>
      </c>
      <c r="G51" s="3">
        <f t="shared" si="1"/>
        <v>534</v>
      </c>
      <c r="H51" s="3"/>
      <c r="I51" s="3" t="s">
        <v>1</v>
      </c>
      <c r="J51" s="3">
        <f>SUM(D50:D57)</f>
        <v>881</v>
      </c>
      <c r="K51" s="12"/>
      <c r="L51" s="12"/>
    </row>
    <row r="52" spans="1:12" x14ac:dyDescent="0.25">
      <c r="A52" s="12" t="s">
        <v>9</v>
      </c>
      <c r="B52" s="12" t="s">
        <v>23</v>
      </c>
      <c r="C52" s="3">
        <v>162</v>
      </c>
      <c r="D52" s="3"/>
      <c r="E52" s="3">
        <v>157</v>
      </c>
      <c r="F52" s="3"/>
      <c r="G52" s="3">
        <f t="shared" si="1"/>
        <v>319</v>
      </c>
      <c r="H52" s="3"/>
      <c r="I52" s="3" t="s">
        <v>2</v>
      </c>
      <c r="J52" s="3">
        <f>SUM(E50:E57)</f>
        <v>837</v>
      </c>
      <c r="K52" s="12"/>
      <c r="L52" s="12"/>
    </row>
    <row r="53" spans="1:12" x14ac:dyDescent="0.25">
      <c r="A53" s="12" t="s">
        <v>9</v>
      </c>
      <c r="B53" s="12" t="s">
        <v>24</v>
      </c>
      <c r="C53" s="3"/>
      <c r="D53" s="3">
        <v>158</v>
      </c>
      <c r="E53" s="3"/>
      <c r="F53" s="3">
        <v>139</v>
      </c>
      <c r="G53" s="3">
        <f t="shared" si="1"/>
        <v>297</v>
      </c>
      <c r="H53" s="3"/>
      <c r="I53" s="3" t="s">
        <v>4</v>
      </c>
      <c r="J53" s="3">
        <f>SUM(F50:F57)</f>
        <v>857</v>
      </c>
      <c r="K53" s="12"/>
      <c r="L53" s="12"/>
    </row>
    <row r="54" spans="1:12" x14ac:dyDescent="0.25">
      <c r="A54" s="12" t="s">
        <v>9</v>
      </c>
      <c r="B54" s="12" t="s">
        <v>25</v>
      </c>
      <c r="C54" s="3">
        <v>158</v>
      </c>
      <c r="D54" s="3"/>
      <c r="E54" s="3">
        <v>184</v>
      </c>
      <c r="F54" s="3">
        <v>221</v>
      </c>
      <c r="G54" s="3">
        <f t="shared" si="1"/>
        <v>563</v>
      </c>
      <c r="H54" s="3"/>
      <c r="I54" s="3" t="s">
        <v>11</v>
      </c>
      <c r="J54" s="3">
        <f>149+210+167+192</f>
        <v>718</v>
      </c>
      <c r="K54" s="12"/>
      <c r="L54" s="12"/>
    </row>
    <row r="55" spans="1:12" x14ac:dyDescent="0.25">
      <c r="A55" s="12" t="s">
        <v>9</v>
      </c>
      <c r="B55" s="12" t="s">
        <v>33</v>
      </c>
      <c r="C55" s="3">
        <v>222</v>
      </c>
      <c r="D55" s="3">
        <v>172</v>
      </c>
      <c r="E55" s="3">
        <v>182</v>
      </c>
      <c r="F55" s="3">
        <v>170</v>
      </c>
      <c r="G55" s="3">
        <f t="shared" si="1"/>
        <v>746</v>
      </c>
      <c r="H55" s="3"/>
      <c r="I55" s="3" t="s">
        <v>12</v>
      </c>
      <c r="J55" s="3">
        <f>179+223+165+149</f>
        <v>716</v>
      </c>
      <c r="K55" s="12"/>
      <c r="L55" s="12"/>
    </row>
    <row r="56" spans="1:12" x14ac:dyDescent="0.25">
      <c r="A56" s="12" t="s">
        <v>9</v>
      </c>
      <c r="B56" s="12" t="s">
        <v>26</v>
      </c>
      <c r="C56" s="3"/>
      <c r="D56" s="3">
        <v>147</v>
      </c>
      <c r="E56" s="3">
        <v>143</v>
      </c>
      <c r="F56" s="3"/>
      <c r="G56" s="3">
        <f t="shared" si="1"/>
        <v>290</v>
      </c>
      <c r="H56" s="3"/>
      <c r="I56" s="3" t="s">
        <v>13</v>
      </c>
      <c r="J56" s="3">
        <f>192+154+230+179</f>
        <v>755</v>
      </c>
      <c r="K56" s="12"/>
      <c r="L56" s="12"/>
    </row>
    <row r="57" spans="1:12" x14ac:dyDescent="0.25">
      <c r="A57" s="12" t="s">
        <v>9</v>
      </c>
      <c r="B57" s="12"/>
      <c r="C57" s="3"/>
      <c r="D57" s="3"/>
      <c r="E57" s="3"/>
      <c r="F57" s="3"/>
      <c r="G57" s="3">
        <f t="shared" si="1"/>
        <v>0</v>
      </c>
      <c r="H57" s="3"/>
      <c r="I57" s="3" t="s">
        <v>175</v>
      </c>
      <c r="J57" s="3">
        <f>185+185+218+172</f>
        <v>760</v>
      </c>
      <c r="K57" s="12"/>
      <c r="L57" s="12"/>
    </row>
    <row r="58" spans="1:12" x14ac:dyDescent="0.25">
      <c r="A58" s="10" t="s">
        <v>97</v>
      </c>
      <c r="B58" s="10" t="s">
        <v>98</v>
      </c>
      <c r="C58" s="7">
        <v>211</v>
      </c>
      <c r="D58" s="7">
        <v>194</v>
      </c>
      <c r="E58" s="7">
        <v>195</v>
      </c>
      <c r="F58" s="7">
        <v>189</v>
      </c>
      <c r="G58" s="7">
        <f t="shared" si="1"/>
        <v>789</v>
      </c>
      <c r="H58" s="7"/>
      <c r="I58" s="7" t="s">
        <v>0</v>
      </c>
      <c r="J58" s="7">
        <f>SUM(C58:C65)</f>
        <v>958</v>
      </c>
      <c r="K58" s="10" t="str">
        <f>A58</f>
        <v>Missouri Baptist - Varsity</v>
      </c>
      <c r="L58" s="10">
        <f>SUM(J58:J65)</f>
        <v>6387</v>
      </c>
    </row>
    <row r="59" spans="1:12" x14ac:dyDescent="0.25">
      <c r="A59" s="10" t="s">
        <v>97</v>
      </c>
      <c r="B59" s="10" t="s">
        <v>99</v>
      </c>
      <c r="C59" s="7">
        <v>168</v>
      </c>
      <c r="D59" s="7">
        <v>177</v>
      </c>
      <c r="E59" s="7">
        <v>138</v>
      </c>
      <c r="F59" s="7"/>
      <c r="G59" s="7">
        <f t="shared" si="1"/>
        <v>483</v>
      </c>
      <c r="H59" s="7"/>
      <c r="I59" s="7" t="s">
        <v>1</v>
      </c>
      <c r="J59" s="7">
        <f>SUM(D58:D65)</f>
        <v>899</v>
      </c>
      <c r="K59" s="10"/>
      <c r="L59" s="10"/>
    </row>
    <row r="60" spans="1:12" x14ac:dyDescent="0.25">
      <c r="A60" s="10" t="s">
        <v>97</v>
      </c>
      <c r="B60" s="10" t="s">
        <v>100</v>
      </c>
      <c r="C60" s="7">
        <v>191</v>
      </c>
      <c r="D60" s="7">
        <v>166</v>
      </c>
      <c r="E60" s="7">
        <v>136</v>
      </c>
      <c r="F60" s="7"/>
      <c r="G60" s="7">
        <f t="shared" si="1"/>
        <v>493</v>
      </c>
      <c r="H60" s="7"/>
      <c r="I60" s="7" t="s">
        <v>2</v>
      </c>
      <c r="J60" s="7">
        <f>SUM(E58:E65)</f>
        <v>777</v>
      </c>
      <c r="K60" s="10"/>
      <c r="L60" s="10"/>
    </row>
    <row r="61" spans="1:12" x14ac:dyDescent="0.25">
      <c r="A61" s="10" t="s">
        <v>97</v>
      </c>
      <c r="B61" s="10" t="s">
        <v>101</v>
      </c>
      <c r="C61" s="7">
        <v>195</v>
      </c>
      <c r="D61" s="7">
        <v>190</v>
      </c>
      <c r="E61" s="7">
        <v>147</v>
      </c>
      <c r="F61" s="7">
        <v>129</v>
      </c>
      <c r="G61" s="7">
        <f t="shared" si="1"/>
        <v>661</v>
      </c>
      <c r="H61" s="7"/>
      <c r="I61" s="7" t="s">
        <v>4</v>
      </c>
      <c r="J61" s="7">
        <f>SUM(F58:F65)</f>
        <v>821</v>
      </c>
      <c r="K61" s="10"/>
      <c r="L61" s="10"/>
    </row>
    <row r="62" spans="1:12" x14ac:dyDescent="0.25">
      <c r="A62" s="10" t="s">
        <v>97</v>
      </c>
      <c r="B62" s="10" t="s">
        <v>102</v>
      </c>
      <c r="C62" s="7"/>
      <c r="D62" s="7"/>
      <c r="E62" s="7"/>
      <c r="F62" s="7"/>
      <c r="G62" s="7">
        <f t="shared" si="1"/>
        <v>0</v>
      </c>
      <c r="H62" s="7"/>
      <c r="I62" s="7" t="s">
        <v>11</v>
      </c>
      <c r="J62" s="7">
        <f>199+210+189+206</f>
        <v>804</v>
      </c>
      <c r="K62" s="10"/>
      <c r="L62" s="10"/>
    </row>
    <row r="63" spans="1:12" x14ac:dyDescent="0.25">
      <c r="A63" s="10" t="s">
        <v>97</v>
      </c>
      <c r="B63" s="10" t="s">
        <v>103</v>
      </c>
      <c r="C63" s="7">
        <v>193</v>
      </c>
      <c r="D63" s="7">
        <v>172</v>
      </c>
      <c r="E63" s="7">
        <v>161</v>
      </c>
      <c r="F63" s="7">
        <v>154</v>
      </c>
      <c r="G63" s="7">
        <f t="shared" si="1"/>
        <v>680</v>
      </c>
      <c r="H63" s="7"/>
      <c r="I63" s="7" t="s">
        <v>12</v>
      </c>
      <c r="J63" s="7">
        <f>188+187+193+128</f>
        <v>696</v>
      </c>
      <c r="K63" s="10"/>
      <c r="L63" s="10"/>
    </row>
    <row r="64" spans="1:12" x14ac:dyDescent="0.25">
      <c r="A64" s="10" t="s">
        <v>97</v>
      </c>
      <c r="B64" s="10" t="s">
        <v>104</v>
      </c>
      <c r="C64" s="7"/>
      <c r="D64" s="7"/>
      <c r="E64" s="7"/>
      <c r="F64" s="7">
        <v>186</v>
      </c>
      <c r="G64" s="7">
        <f t="shared" si="1"/>
        <v>186</v>
      </c>
      <c r="H64" s="7"/>
      <c r="I64" s="7" t="s">
        <v>13</v>
      </c>
      <c r="J64" s="7">
        <f>197+167+176+151</f>
        <v>691</v>
      </c>
      <c r="K64" s="10"/>
      <c r="L64" s="10"/>
    </row>
    <row r="65" spans="1:12" x14ac:dyDescent="0.25">
      <c r="A65" s="10" t="s">
        <v>97</v>
      </c>
      <c r="B65" s="10" t="s">
        <v>105</v>
      </c>
      <c r="C65" s="7"/>
      <c r="D65" s="7"/>
      <c r="E65" s="7"/>
      <c r="F65" s="7">
        <v>163</v>
      </c>
      <c r="G65" s="7">
        <f t="shared" si="1"/>
        <v>163</v>
      </c>
      <c r="H65" s="7"/>
      <c r="I65" s="7" t="s">
        <v>175</v>
      </c>
      <c r="J65" s="7">
        <v>741</v>
      </c>
      <c r="K65" s="10"/>
      <c r="L65" s="10"/>
    </row>
    <row r="66" spans="1:12" x14ac:dyDescent="0.25">
      <c r="A66" s="12" t="s">
        <v>65</v>
      </c>
      <c r="B66" s="12" t="s">
        <v>66</v>
      </c>
      <c r="C66" s="3"/>
      <c r="D66" s="3"/>
      <c r="E66" s="3"/>
      <c r="F66" s="3"/>
      <c r="G66" s="3">
        <f t="shared" ref="G66:G81" si="2">SUM(C66:F66)</f>
        <v>0</v>
      </c>
      <c r="H66" s="3"/>
      <c r="I66" s="3" t="s">
        <v>0</v>
      </c>
      <c r="J66" s="3">
        <f>SUM(C66:C73)</f>
        <v>961</v>
      </c>
      <c r="K66" s="12" t="str">
        <f>A66</f>
        <v>Rio Grande - Varsity</v>
      </c>
      <c r="L66" s="12">
        <f>SUM(J66:J73)</f>
        <v>6761</v>
      </c>
    </row>
    <row r="67" spans="1:12" x14ac:dyDescent="0.25">
      <c r="A67" s="12" t="s">
        <v>65</v>
      </c>
      <c r="B67" s="12" t="s">
        <v>67</v>
      </c>
      <c r="C67" s="3">
        <v>255</v>
      </c>
      <c r="D67" s="3">
        <v>194</v>
      </c>
      <c r="E67" s="3">
        <v>203</v>
      </c>
      <c r="F67" s="3">
        <v>193</v>
      </c>
      <c r="G67" s="3">
        <f t="shared" si="2"/>
        <v>845</v>
      </c>
      <c r="H67" s="3"/>
      <c r="I67" s="3" t="s">
        <v>1</v>
      </c>
      <c r="J67" s="3">
        <f>SUM(D66:D73)</f>
        <v>935</v>
      </c>
      <c r="K67" s="12"/>
      <c r="L67" s="12"/>
    </row>
    <row r="68" spans="1:12" x14ac:dyDescent="0.25">
      <c r="A68" s="12" t="s">
        <v>65</v>
      </c>
      <c r="B68" s="12" t="s">
        <v>68</v>
      </c>
      <c r="C68" s="3">
        <v>183</v>
      </c>
      <c r="D68" s="3">
        <v>188</v>
      </c>
      <c r="E68" s="3">
        <v>205</v>
      </c>
      <c r="F68" s="3">
        <v>176</v>
      </c>
      <c r="G68" s="3">
        <f t="shared" si="2"/>
        <v>752</v>
      </c>
      <c r="H68" s="3"/>
      <c r="I68" s="3" t="s">
        <v>2</v>
      </c>
      <c r="J68" s="3">
        <f>SUM(E66:E73)</f>
        <v>999</v>
      </c>
      <c r="K68" s="12"/>
      <c r="L68" s="12"/>
    </row>
    <row r="69" spans="1:12" x14ac:dyDescent="0.25">
      <c r="A69" s="12" t="s">
        <v>65</v>
      </c>
      <c r="B69" s="12" t="s">
        <v>69</v>
      </c>
      <c r="C69" s="3"/>
      <c r="D69" s="3"/>
      <c r="E69" s="3"/>
      <c r="F69" s="3"/>
      <c r="G69" s="3">
        <f t="shared" si="2"/>
        <v>0</v>
      </c>
      <c r="H69" s="3"/>
      <c r="I69" s="3" t="s">
        <v>4</v>
      </c>
      <c r="J69" s="3">
        <f>SUM(F66:F73)</f>
        <v>936</v>
      </c>
      <c r="K69" s="12"/>
      <c r="L69" s="12"/>
    </row>
    <row r="70" spans="1:12" x14ac:dyDescent="0.25">
      <c r="A70" s="12" t="s">
        <v>65</v>
      </c>
      <c r="B70" s="12" t="s">
        <v>70</v>
      </c>
      <c r="C70" s="3">
        <v>174</v>
      </c>
      <c r="D70" s="3">
        <v>184</v>
      </c>
      <c r="E70" s="3">
        <v>205</v>
      </c>
      <c r="F70" s="3">
        <v>180</v>
      </c>
      <c r="G70" s="3">
        <f t="shared" si="2"/>
        <v>743</v>
      </c>
      <c r="H70" s="3"/>
      <c r="I70" s="3" t="s">
        <v>11</v>
      </c>
      <c r="J70" s="3">
        <f>233+183+168+156</f>
        <v>740</v>
      </c>
      <c r="K70" s="12"/>
      <c r="L70" s="12"/>
    </row>
    <row r="71" spans="1:12" x14ac:dyDescent="0.25">
      <c r="A71" s="12" t="s">
        <v>65</v>
      </c>
      <c r="B71" s="12" t="s">
        <v>71</v>
      </c>
      <c r="C71" s="3">
        <v>156</v>
      </c>
      <c r="D71" s="3">
        <v>164</v>
      </c>
      <c r="E71" s="3">
        <v>216</v>
      </c>
      <c r="F71" s="3">
        <v>187</v>
      </c>
      <c r="G71" s="3">
        <f t="shared" si="2"/>
        <v>723</v>
      </c>
      <c r="H71" s="3"/>
      <c r="I71" s="3" t="s">
        <v>12</v>
      </c>
      <c r="J71" s="3">
        <f>167+188+211+193</f>
        <v>759</v>
      </c>
      <c r="K71" s="12"/>
      <c r="L71" s="12"/>
    </row>
    <row r="72" spans="1:12" x14ac:dyDescent="0.25">
      <c r="A72" s="12" t="s">
        <v>65</v>
      </c>
      <c r="B72" s="12" t="s">
        <v>72</v>
      </c>
      <c r="C72" s="3">
        <v>193</v>
      </c>
      <c r="D72" s="3">
        <v>205</v>
      </c>
      <c r="E72" s="3">
        <v>170</v>
      </c>
      <c r="F72" s="3">
        <v>200</v>
      </c>
      <c r="G72" s="3">
        <f t="shared" si="2"/>
        <v>768</v>
      </c>
      <c r="H72" s="3"/>
      <c r="I72" s="3" t="s">
        <v>13</v>
      </c>
      <c r="J72" s="3">
        <f>180+167+170+189</f>
        <v>706</v>
      </c>
      <c r="K72" s="12"/>
      <c r="L72" s="12"/>
    </row>
    <row r="73" spans="1:12" x14ac:dyDescent="0.25">
      <c r="A73" s="12" t="s">
        <v>65</v>
      </c>
      <c r="B73" s="12"/>
      <c r="C73" s="3"/>
      <c r="D73" s="3"/>
      <c r="E73" s="3"/>
      <c r="F73" s="3"/>
      <c r="G73" s="3">
        <f t="shared" si="2"/>
        <v>0</v>
      </c>
      <c r="H73" s="3"/>
      <c r="I73" s="3" t="s">
        <v>175</v>
      </c>
      <c r="J73" s="3">
        <f>201+189+179+156</f>
        <v>725</v>
      </c>
      <c r="K73" s="12"/>
      <c r="L73" s="12"/>
    </row>
    <row r="74" spans="1:12" x14ac:dyDescent="0.25">
      <c r="A74" s="11" t="s">
        <v>113</v>
      </c>
      <c r="B74" s="11" t="s">
        <v>114</v>
      </c>
      <c r="C74" s="7">
        <v>169</v>
      </c>
      <c r="D74" s="7">
        <v>195</v>
      </c>
      <c r="E74" s="7">
        <v>197</v>
      </c>
      <c r="F74" s="7">
        <v>244</v>
      </c>
      <c r="G74" s="7">
        <f t="shared" si="2"/>
        <v>805</v>
      </c>
      <c r="H74" s="7"/>
      <c r="I74" s="7" t="s">
        <v>0</v>
      </c>
      <c r="J74" s="7">
        <f>SUM(C74:C81)</f>
        <v>1008</v>
      </c>
      <c r="K74" s="11" t="str">
        <f>A74</f>
        <v>University of the Cumberlands - Varsity</v>
      </c>
      <c r="L74" s="11">
        <f>SUM(J74:J81)</f>
        <v>7119</v>
      </c>
    </row>
    <row r="75" spans="1:12" x14ac:dyDescent="0.25">
      <c r="A75" s="11" t="s">
        <v>113</v>
      </c>
      <c r="B75" s="11" t="s">
        <v>115</v>
      </c>
      <c r="C75" s="7">
        <v>240</v>
      </c>
      <c r="D75" s="7">
        <v>226</v>
      </c>
      <c r="E75" s="7">
        <v>186</v>
      </c>
      <c r="F75" s="7">
        <v>265</v>
      </c>
      <c r="G75" s="7">
        <f t="shared" si="2"/>
        <v>917</v>
      </c>
      <c r="H75" s="7"/>
      <c r="I75" s="7" t="s">
        <v>1</v>
      </c>
      <c r="J75" s="7">
        <f>SUM(D74:D81)</f>
        <v>999</v>
      </c>
      <c r="K75" s="11"/>
      <c r="L75" s="11"/>
    </row>
    <row r="76" spans="1:12" x14ac:dyDescent="0.25">
      <c r="A76" s="11" t="s">
        <v>113</v>
      </c>
      <c r="B76" s="11" t="s">
        <v>116</v>
      </c>
      <c r="C76" s="7">
        <v>240</v>
      </c>
      <c r="D76" s="7">
        <v>182</v>
      </c>
      <c r="E76" s="7">
        <v>213</v>
      </c>
      <c r="F76" s="7">
        <v>176</v>
      </c>
      <c r="G76" s="7">
        <f t="shared" si="2"/>
        <v>811</v>
      </c>
      <c r="H76" s="7"/>
      <c r="I76" s="7" t="s">
        <v>2</v>
      </c>
      <c r="J76" s="7">
        <f>SUM(E74:E81)</f>
        <v>1010</v>
      </c>
      <c r="K76" s="11"/>
      <c r="L76" s="11"/>
    </row>
    <row r="77" spans="1:12" x14ac:dyDescent="0.25">
      <c r="A77" s="11" t="s">
        <v>113</v>
      </c>
      <c r="B77" s="11" t="s">
        <v>117</v>
      </c>
      <c r="C77" s="7">
        <v>191</v>
      </c>
      <c r="D77" s="7">
        <v>247</v>
      </c>
      <c r="E77" s="7">
        <v>230</v>
      </c>
      <c r="F77" s="7">
        <v>218</v>
      </c>
      <c r="G77" s="7">
        <f t="shared" si="2"/>
        <v>886</v>
      </c>
      <c r="H77" s="7"/>
      <c r="I77" s="7" t="s">
        <v>4</v>
      </c>
      <c r="J77" s="7">
        <f>SUM(F74:F81)</f>
        <v>1070</v>
      </c>
      <c r="K77" s="11"/>
      <c r="L77" s="11"/>
    </row>
    <row r="78" spans="1:12" x14ac:dyDescent="0.25">
      <c r="A78" s="11" t="s">
        <v>113</v>
      </c>
      <c r="B78" s="11" t="s">
        <v>118</v>
      </c>
      <c r="C78" s="7"/>
      <c r="D78" s="7"/>
      <c r="E78" s="7">
        <v>184</v>
      </c>
      <c r="F78" s="7">
        <v>167</v>
      </c>
      <c r="G78" s="7">
        <f t="shared" si="2"/>
        <v>351</v>
      </c>
      <c r="H78" s="7"/>
      <c r="I78" s="7" t="s">
        <v>11</v>
      </c>
      <c r="J78" s="7">
        <f>201+171+165+199</f>
        <v>736</v>
      </c>
      <c r="K78" s="11"/>
      <c r="L78" s="11"/>
    </row>
    <row r="79" spans="1:12" x14ac:dyDescent="0.25">
      <c r="A79" s="11" t="s">
        <v>113</v>
      </c>
      <c r="B79" s="11" t="s">
        <v>119</v>
      </c>
      <c r="C79" s="7">
        <v>168</v>
      </c>
      <c r="D79" s="7"/>
      <c r="E79" s="7"/>
      <c r="F79" s="7"/>
      <c r="G79" s="7">
        <f t="shared" si="2"/>
        <v>168</v>
      </c>
      <c r="H79" s="7"/>
      <c r="I79" s="7" t="s">
        <v>12</v>
      </c>
      <c r="J79" s="7">
        <f>190+232+182+179</f>
        <v>783</v>
      </c>
      <c r="K79" s="11"/>
      <c r="L79" s="11"/>
    </row>
    <row r="80" spans="1:12" x14ac:dyDescent="0.25">
      <c r="A80" s="11" t="s">
        <v>113</v>
      </c>
      <c r="B80" s="11" t="s">
        <v>120</v>
      </c>
      <c r="C80" s="7"/>
      <c r="D80" s="7">
        <v>149</v>
      </c>
      <c r="E80" s="7"/>
      <c r="F80" s="7"/>
      <c r="G80" s="7">
        <f t="shared" si="2"/>
        <v>149</v>
      </c>
      <c r="H80" s="7"/>
      <c r="I80" s="7" t="s">
        <v>13</v>
      </c>
      <c r="J80" s="7">
        <f>197+209+190+209</f>
        <v>805</v>
      </c>
      <c r="K80" s="11"/>
      <c r="L80" s="11"/>
    </row>
    <row r="81" spans="1:12" x14ac:dyDescent="0.25">
      <c r="A81" s="11" t="s">
        <v>113</v>
      </c>
      <c r="B81" s="11"/>
      <c r="C81" s="7"/>
      <c r="D81" s="7"/>
      <c r="E81" s="7"/>
      <c r="F81" s="7"/>
      <c r="G81" s="7">
        <f t="shared" si="2"/>
        <v>0</v>
      </c>
      <c r="H81" s="7"/>
      <c r="I81" s="7" t="s">
        <v>175</v>
      </c>
      <c r="J81" s="7">
        <f>204+175+167+162</f>
        <v>708</v>
      </c>
      <c r="K81" s="11"/>
      <c r="L81" s="11"/>
    </row>
  </sheetData>
  <sortState xmlns:xlrd2="http://schemas.microsoft.com/office/spreadsheetml/2017/richdata2" ref="A2:L81">
    <sortCondition ref="A2:A81"/>
  </sortState>
  <pageMargins left="0.25" right="0.25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B9" sqref="B9"/>
    </sheetView>
  </sheetViews>
  <sheetFormatPr defaultColWidth="17" defaultRowHeight="15" x14ac:dyDescent="0.25"/>
  <cols>
    <col min="1" max="1" width="36.42578125" style="5" bestFit="1" customWidth="1"/>
    <col min="2" max="2" width="10.42578125" style="5" bestFit="1" customWidth="1"/>
    <col min="3" max="16384" width="17" style="5"/>
  </cols>
  <sheetData>
    <row r="1" spans="1:2" x14ac:dyDescent="0.25">
      <c r="A1" s="5" t="s">
        <v>176</v>
      </c>
      <c r="B1" s="5" t="s">
        <v>177</v>
      </c>
    </row>
    <row r="2" spans="1:2" x14ac:dyDescent="0.25">
      <c r="A2" s="5" t="s">
        <v>113</v>
      </c>
      <c r="B2" s="5">
        <v>7119</v>
      </c>
    </row>
    <row r="3" spans="1:2" x14ac:dyDescent="0.25">
      <c r="A3" s="5" t="s">
        <v>65</v>
      </c>
      <c r="B3" s="5">
        <v>6761</v>
      </c>
    </row>
    <row r="4" spans="1:2" x14ac:dyDescent="0.25">
      <c r="A4" s="5" t="s">
        <v>40</v>
      </c>
      <c r="B4" s="5">
        <v>6594</v>
      </c>
    </row>
    <row r="5" spans="1:2" x14ac:dyDescent="0.25">
      <c r="A5" s="5" t="s">
        <v>149</v>
      </c>
      <c r="B5" s="5">
        <v>6536</v>
      </c>
    </row>
    <row r="6" spans="1:2" x14ac:dyDescent="0.25">
      <c r="A6" s="5" t="s">
        <v>34</v>
      </c>
      <c r="B6" s="5">
        <v>6498</v>
      </c>
    </row>
    <row r="7" spans="1:2" x14ac:dyDescent="0.25">
      <c r="A7" s="5" t="s">
        <v>9</v>
      </c>
      <c r="B7" s="5">
        <v>6437</v>
      </c>
    </row>
    <row r="8" spans="1:2" x14ac:dyDescent="0.25">
      <c r="A8" s="5" t="s">
        <v>97</v>
      </c>
      <c r="B8" s="5">
        <v>6387</v>
      </c>
    </row>
    <row r="9" spans="1:2" x14ac:dyDescent="0.25">
      <c r="A9" s="5" t="s">
        <v>78</v>
      </c>
      <c r="B9" s="5">
        <v>6330</v>
      </c>
    </row>
    <row r="10" spans="1:2" x14ac:dyDescent="0.25">
      <c r="A10" s="5" t="s">
        <v>135</v>
      </c>
      <c r="B10" s="5">
        <v>6204</v>
      </c>
    </row>
    <row r="11" spans="1:2" x14ac:dyDescent="0.25">
      <c r="A11" s="5" t="s">
        <v>27</v>
      </c>
      <c r="B11" s="5">
        <v>5516</v>
      </c>
    </row>
  </sheetData>
  <sortState xmlns:xlrd2="http://schemas.microsoft.com/office/spreadsheetml/2017/richdata2" ref="A2:B81">
    <sortCondition descending="1" ref="B2:B81"/>
  </sortState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7"/>
  <sheetViews>
    <sheetView workbookViewId="0">
      <selection activeCell="E11" sqref="E11"/>
    </sheetView>
  </sheetViews>
  <sheetFormatPr defaultColWidth="17" defaultRowHeight="15" x14ac:dyDescent="0.25"/>
  <cols>
    <col min="1" max="1" width="36.42578125" style="5" bestFit="1" customWidth="1"/>
    <col min="2" max="2" width="20.42578125" style="5" bestFit="1" customWidth="1"/>
    <col min="3" max="6" width="7.5703125" style="5" bestFit="1" customWidth="1"/>
    <col min="7" max="7" width="15.7109375" style="5" bestFit="1" customWidth="1"/>
    <col min="8" max="16384" width="17" style="5"/>
  </cols>
  <sheetData>
    <row r="1" spans="1:7" x14ac:dyDescent="0.25">
      <c r="A1" s="4" t="s">
        <v>6</v>
      </c>
      <c r="B1" s="4" t="s">
        <v>5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8</v>
      </c>
    </row>
    <row r="2" spans="1:7" x14ac:dyDescent="0.25">
      <c r="A2" s="4" t="s">
        <v>113</v>
      </c>
      <c r="B2" s="4" t="s">
        <v>115</v>
      </c>
      <c r="C2" s="4">
        <v>240</v>
      </c>
      <c r="D2" s="4">
        <v>226</v>
      </c>
      <c r="E2" s="4">
        <v>186</v>
      </c>
      <c r="F2" s="4">
        <v>265</v>
      </c>
      <c r="G2" s="4">
        <v>917</v>
      </c>
    </row>
    <row r="3" spans="1:7" x14ac:dyDescent="0.25">
      <c r="A3" s="4" t="s">
        <v>40</v>
      </c>
      <c r="B3" s="4" t="s">
        <v>43</v>
      </c>
      <c r="C3" s="4">
        <v>199</v>
      </c>
      <c r="D3" s="4">
        <v>244</v>
      </c>
      <c r="E3" s="4">
        <v>290</v>
      </c>
      <c r="F3" s="4">
        <v>183</v>
      </c>
      <c r="G3" s="4">
        <v>916</v>
      </c>
    </row>
    <row r="4" spans="1:7" x14ac:dyDescent="0.25">
      <c r="A4" s="4" t="s">
        <v>113</v>
      </c>
      <c r="B4" s="4" t="s">
        <v>117</v>
      </c>
      <c r="C4" s="4">
        <v>191</v>
      </c>
      <c r="D4" s="4">
        <v>247</v>
      </c>
      <c r="E4" s="4">
        <v>230</v>
      </c>
      <c r="F4" s="4">
        <v>218</v>
      </c>
      <c r="G4" s="4">
        <v>886</v>
      </c>
    </row>
    <row r="5" spans="1:7" x14ac:dyDescent="0.25">
      <c r="A5" s="4" t="s">
        <v>135</v>
      </c>
      <c r="B5" s="4" t="s">
        <v>137</v>
      </c>
      <c r="C5" s="4">
        <v>221</v>
      </c>
      <c r="D5" s="4">
        <v>244</v>
      </c>
      <c r="E5" s="4">
        <v>199</v>
      </c>
      <c r="F5" s="4">
        <v>204</v>
      </c>
      <c r="G5" s="4">
        <v>868</v>
      </c>
    </row>
    <row r="6" spans="1:7" x14ac:dyDescent="0.25">
      <c r="A6" s="4" t="s">
        <v>65</v>
      </c>
      <c r="B6" s="4" t="s">
        <v>67</v>
      </c>
      <c r="C6" s="4">
        <v>255</v>
      </c>
      <c r="D6" s="4">
        <v>194</v>
      </c>
      <c r="E6" s="4">
        <v>203</v>
      </c>
      <c r="F6" s="4">
        <v>193</v>
      </c>
      <c r="G6" s="4">
        <v>845</v>
      </c>
    </row>
    <row r="7" spans="1:7" x14ac:dyDescent="0.25">
      <c r="A7" s="14" t="s">
        <v>78</v>
      </c>
      <c r="B7" s="14" t="s">
        <v>80</v>
      </c>
      <c r="C7" s="4">
        <v>241</v>
      </c>
      <c r="D7" s="4">
        <v>199</v>
      </c>
      <c r="E7" s="4">
        <v>199</v>
      </c>
      <c r="F7" s="4">
        <v>192</v>
      </c>
      <c r="G7" s="4">
        <v>831</v>
      </c>
    </row>
    <row r="8" spans="1:7" x14ac:dyDescent="0.25">
      <c r="A8" s="4" t="s">
        <v>113</v>
      </c>
      <c r="B8" s="4" t="s">
        <v>116</v>
      </c>
      <c r="C8" s="4">
        <v>240</v>
      </c>
      <c r="D8" s="4">
        <v>182</v>
      </c>
      <c r="E8" s="4">
        <v>213</v>
      </c>
      <c r="F8" s="4">
        <v>176</v>
      </c>
      <c r="G8" s="4">
        <v>811</v>
      </c>
    </row>
    <row r="9" spans="1:7" x14ac:dyDescent="0.25">
      <c r="A9" s="4" t="s">
        <v>113</v>
      </c>
      <c r="B9" s="4" t="s">
        <v>114</v>
      </c>
      <c r="C9" s="4">
        <v>169</v>
      </c>
      <c r="D9" s="4">
        <v>195</v>
      </c>
      <c r="E9" s="4">
        <v>197</v>
      </c>
      <c r="F9" s="4">
        <v>244</v>
      </c>
      <c r="G9" s="4">
        <v>805</v>
      </c>
    </row>
    <row r="10" spans="1:7" x14ac:dyDescent="0.25">
      <c r="A10" s="4" t="s">
        <v>135</v>
      </c>
      <c r="B10" s="4" t="s">
        <v>136</v>
      </c>
      <c r="C10" s="4">
        <v>208</v>
      </c>
      <c r="D10" s="4">
        <v>185</v>
      </c>
      <c r="E10" s="4">
        <v>165</v>
      </c>
      <c r="F10" s="4">
        <v>233</v>
      </c>
      <c r="G10" s="4">
        <v>791</v>
      </c>
    </row>
    <row r="11" spans="1:7" x14ac:dyDescent="0.25">
      <c r="A11" s="4" t="s">
        <v>97</v>
      </c>
      <c r="B11" s="4" t="s">
        <v>98</v>
      </c>
      <c r="C11" s="4">
        <v>211</v>
      </c>
      <c r="D11" s="4">
        <v>194</v>
      </c>
      <c r="E11" s="4">
        <v>195</v>
      </c>
      <c r="F11" s="4">
        <v>189</v>
      </c>
      <c r="G11" s="4">
        <v>789</v>
      </c>
    </row>
    <row r="12" spans="1:7" x14ac:dyDescent="0.25">
      <c r="A12" s="4" t="s">
        <v>149</v>
      </c>
      <c r="B12" s="4" t="s">
        <v>166</v>
      </c>
      <c r="C12" s="4">
        <v>213</v>
      </c>
      <c r="D12" s="4">
        <v>184</v>
      </c>
      <c r="E12" s="4">
        <v>234</v>
      </c>
      <c r="F12" s="4">
        <v>154</v>
      </c>
      <c r="G12" s="4">
        <v>785</v>
      </c>
    </row>
    <row r="13" spans="1:7" x14ac:dyDescent="0.25">
      <c r="A13" s="4" t="s">
        <v>34</v>
      </c>
      <c r="B13" s="4" t="s">
        <v>35</v>
      </c>
      <c r="C13" s="4">
        <v>200</v>
      </c>
      <c r="D13" s="4">
        <v>221</v>
      </c>
      <c r="E13" s="4">
        <v>192</v>
      </c>
      <c r="F13" s="4">
        <v>168</v>
      </c>
      <c r="G13" s="4">
        <v>781</v>
      </c>
    </row>
    <row r="14" spans="1:7" x14ac:dyDescent="0.25">
      <c r="A14" s="4" t="s">
        <v>78</v>
      </c>
      <c r="B14" s="4" t="s">
        <v>84</v>
      </c>
      <c r="C14" s="4">
        <v>280</v>
      </c>
      <c r="D14" s="4">
        <v>189</v>
      </c>
      <c r="E14" s="4">
        <v>150</v>
      </c>
      <c r="F14" s="4">
        <v>149</v>
      </c>
      <c r="G14" s="4">
        <v>768</v>
      </c>
    </row>
    <row r="15" spans="1:7" x14ac:dyDescent="0.25">
      <c r="A15" s="4" t="s">
        <v>65</v>
      </c>
      <c r="B15" s="4" t="s">
        <v>72</v>
      </c>
      <c r="C15" s="4">
        <v>193</v>
      </c>
      <c r="D15" s="4">
        <v>205</v>
      </c>
      <c r="E15" s="4">
        <v>170</v>
      </c>
      <c r="F15" s="4">
        <v>200</v>
      </c>
      <c r="G15" s="4">
        <v>768</v>
      </c>
    </row>
    <row r="16" spans="1:7" x14ac:dyDescent="0.25">
      <c r="A16" s="4" t="s">
        <v>65</v>
      </c>
      <c r="B16" s="4" t="s">
        <v>68</v>
      </c>
      <c r="C16" s="4">
        <v>183</v>
      </c>
      <c r="D16" s="4">
        <v>188</v>
      </c>
      <c r="E16" s="4">
        <v>205</v>
      </c>
      <c r="F16" s="4">
        <v>176</v>
      </c>
      <c r="G16" s="4">
        <v>752</v>
      </c>
    </row>
    <row r="17" spans="1:7" x14ac:dyDescent="0.25">
      <c r="A17" s="4" t="s">
        <v>40</v>
      </c>
      <c r="B17" s="4" t="s">
        <v>45</v>
      </c>
      <c r="C17" s="4">
        <v>191</v>
      </c>
      <c r="D17" s="4">
        <v>171</v>
      </c>
      <c r="E17" s="4">
        <v>194</v>
      </c>
      <c r="F17" s="4">
        <v>195</v>
      </c>
      <c r="G17" s="4">
        <v>751</v>
      </c>
    </row>
    <row r="18" spans="1:7" x14ac:dyDescent="0.25">
      <c r="A18" s="4" t="s">
        <v>9</v>
      </c>
      <c r="B18" s="4" t="s">
        <v>33</v>
      </c>
      <c r="C18" s="4">
        <v>222</v>
      </c>
      <c r="D18" s="4">
        <v>172</v>
      </c>
      <c r="E18" s="4">
        <v>182</v>
      </c>
      <c r="F18" s="4">
        <v>170</v>
      </c>
      <c r="G18" s="4">
        <v>746</v>
      </c>
    </row>
    <row r="19" spans="1:7" x14ac:dyDescent="0.25">
      <c r="A19" s="4" t="s">
        <v>65</v>
      </c>
      <c r="B19" s="4" t="s">
        <v>70</v>
      </c>
      <c r="C19" s="4">
        <v>174</v>
      </c>
      <c r="D19" s="4">
        <v>184</v>
      </c>
      <c r="E19" s="4">
        <v>205</v>
      </c>
      <c r="F19" s="4">
        <v>180</v>
      </c>
      <c r="G19" s="4">
        <v>743</v>
      </c>
    </row>
    <row r="20" spans="1:7" x14ac:dyDescent="0.25">
      <c r="A20" s="4" t="s">
        <v>40</v>
      </c>
      <c r="B20" s="4" t="s">
        <v>42</v>
      </c>
      <c r="C20" s="4">
        <v>189</v>
      </c>
      <c r="D20" s="4">
        <v>161</v>
      </c>
      <c r="E20" s="4">
        <v>219</v>
      </c>
      <c r="F20" s="4">
        <v>170</v>
      </c>
      <c r="G20" s="4">
        <v>739</v>
      </c>
    </row>
    <row r="21" spans="1:7" x14ac:dyDescent="0.25">
      <c r="A21" s="8" t="s">
        <v>34</v>
      </c>
      <c r="B21" s="8" t="s">
        <v>37</v>
      </c>
      <c r="C21" s="4">
        <v>215</v>
      </c>
      <c r="D21" s="4">
        <v>203</v>
      </c>
      <c r="E21" s="4">
        <v>184</v>
      </c>
      <c r="F21" s="4">
        <v>137</v>
      </c>
      <c r="G21" s="4">
        <v>739</v>
      </c>
    </row>
    <row r="22" spans="1:7" x14ac:dyDescent="0.25">
      <c r="A22" s="4" t="s">
        <v>9</v>
      </c>
      <c r="B22" s="4" t="s">
        <v>10</v>
      </c>
      <c r="C22" s="4">
        <v>192</v>
      </c>
      <c r="D22" s="4">
        <v>258</v>
      </c>
      <c r="E22" s="4">
        <v>171</v>
      </c>
      <c r="F22" s="4">
        <v>118</v>
      </c>
      <c r="G22" s="4">
        <v>739</v>
      </c>
    </row>
    <row r="23" spans="1:7" x14ac:dyDescent="0.25">
      <c r="A23" s="4" t="s">
        <v>65</v>
      </c>
      <c r="B23" s="4" t="s">
        <v>71</v>
      </c>
      <c r="C23" s="4">
        <v>156</v>
      </c>
      <c r="D23" s="4">
        <v>164</v>
      </c>
      <c r="E23" s="4">
        <v>216</v>
      </c>
      <c r="F23" s="4">
        <v>187</v>
      </c>
      <c r="G23" s="4">
        <v>723</v>
      </c>
    </row>
    <row r="24" spans="1:7" x14ac:dyDescent="0.25">
      <c r="A24" s="4" t="s">
        <v>78</v>
      </c>
      <c r="B24" s="4" t="s">
        <v>83</v>
      </c>
      <c r="C24" s="4">
        <v>138</v>
      </c>
      <c r="D24" s="4">
        <v>162</v>
      </c>
      <c r="E24" s="4">
        <v>187</v>
      </c>
      <c r="F24" s="4">
        <v>229</v>
      </c>
      <c r="G24" s="4">
        <v>716</v>
      </c>
    </row>
    <row r="25" spans="1:7" x14ac:dyDescent="0.25">
      <c r="A25" s="4" t="s">
        <v>149</v>
      </c>
      <c r="B25" s="4" t="s">
        <v>168</v>
      </c>
      <c r="C25" s="4">
        <v>165</v>
      </c>
      <c r="D25" s="4">
        <v>146</v>
      </c>
      <c r="E25" s="4">
        <v>183</v>
      </c>
      <c r="F25" s="4">
        <v>216</v>
      </c>
      <c r="G25" s="4">
        <v>710</v>
      </c>
    </row>
    <row r="26" spans="1:7" x14ac:dyDescent="0.25">
      <c r="A26" s="4" t="s">
        <v>149</v>
      </c>
      <c r="B26" s="4" t="s">
        <v>167</v>
      </c>
      <c r="C26" s="4">
        <v>166</v>
      </c>
      <c r="D26" s="4">
        <v>190</v>
      </c>
      <c r="E26" s="4">
        <v>132</v>
      </c>
      <c r="F26" s="4">
        <v>219</v>
      </c>
      <c r="G26" s="4">
        <v>707</v>
      </c>
    </row>
    <row r="27" spans="1:7" x14ac:dyDescent="0.25">
      <c r="A27" s="4" t="s">
        <v>27</v>
      </c>
      <c r="B27" s="4" t="s">
        <v>28</v>
      </c>
      <c r="C27" s="4">
        <v>158</v>
      </c>
      <c r="D27" s="4">
        <v>187</v>
      </c>
      <c r="E27" s="4">
        <v>158</v>
      </c>
      <c r="F27" s="4">
        <v>178</v>
      </c>
      <c r="G27" s="4">
        <v>681</v>
      </c>
    </row>
    <row r="28" spans="1:7" x14ac:dyDescent="0.25">
      <c r="A28" s="4" t="s">
        <v>97</v>
      </c>
      <c r="B28" s="4" t="s">
        <v>103</v>
      </c>
      <c r="C28" s="4">
        <v>193</v>
      </c>
      <c r="D28" s="4">
        <v>172</v>
      </c>
      <c r="E28" s="4">
        <v>161</v>
      </c>
      <c r="F28" s="4">
        <v>154</v>
      </c>
      <c r="G28" s="4">
        <v>680</v>
      </c>
    </row>
    <row r="29" spans="1:7" x14ac:dyDescent="0.25">
      <c r="A29" s="4" t="s">
        <v>34</v>
      </c>
      <c r="B29" s="4" t="s">
        <v>38</v>
      </c>
      <c r="C29" s="4">
        <v>157</v>
      </c>
      <c r="D29" s="4">
        <v>182</v>
      </c>
      <c r="E29" s="4">
        <v>182</v>
      </c>
      <c r="F29" s="4">
        <v>157</v>
      </c>
      <c r="G29" s="4">
        <v>678</v>
      </c>
    </row>
    <row r="30" spans="1:7" x14ac:dyDescent="0.25">
      <c r="A30" s="4" t="s">
        <v>78</v>
      </c>
      <c r="B30" s="4" t="s">
        <v>82</v>
      </c>
      <c r="C30" s="4">
        <v>171</v>
      </c>
      <c r="D30" s="4">
        <v>183</v>
      </c>
      <c r="E30" s="4">
        <v>136</v>
      </c>
      <c r="F30" s="4">
        <v>187</v>
      </c>
      <c r="G30" s="4">
        <v>677</v>
      </c>
    </row>
    <row r="31" spans="1:7" x14ac:dyDescent="0.25">
      <c r="A31" s="4" t="s">
        <v>34</v>
      </c>
      <c r="B31" s="4" t="s">
        <v>36</v>
      </c>
      <c r="C31" s="4">
        <v>190</v>
      </c>
      <c r="D31" s="4">
        <v>206</v>
      </c>
      <c r="E31" s="4">
        <v>142</v>
      </c>
      <c r="F31" s="4">
        <v>135</v>
      </c>
      <c r="G31" s="4">
        <v>673</v>
      </c>
    </row>
    <row r="32" spans="1:7" x14ac:dyDescent="0.25">
      <c r="A32" s="4" t="s">
        <v>34</v>
      </c>
      <c r="B32" s="4" t="s">
        <v>39</v>
      </c>
      <c r="C32" s="4">
        <v>170</v>
      </c>
      <c r="D32" s="4">
        <v>112</v>
      </c>
      <c r="E32" s="4">
        <v>197</v>
      </c>
      <c r="F32" s="4">
        <v>191</v>
      </c>
      <c r="G32" s="4">
        <v>670</v>
      </c>
    </row>
    <row r="33" spans="1:7" x14ac:dyDescent="0.25">
      <c r="A33" s="4" t="s">
        <v>97</v>
      </c>
      <c r="B33" s="4" t="s">
        <v>101</v>
      </c>
      <c r="C33" s="4">
        <v>195</v>
      </c>
      <c r="D33" s="4">
        <v>190</v>
      </c>
      <c r="E33" s="4">
        <v>147</v>
      </c>
      <c r="F33" s="4">
        <v>129</v>
      </c>
      <c r="G33" s="4">
        <v>661</v>
      </c>
    </row>
    <row r="34" spans="1:7" x14ac:dyDescent="0.25">
      <c r="A34" s="4" t="s">
        <v>135</v>
      </c>
      <c r="B34" s="4" t="s">
        <v>141</v>
      </c>
      <c r="C34" s="4">
        <v>163</v>
      </c>
      <c r="D34" s="4">
        <v>140</v>
      </c>
      <c r="E34" s="4">
        <v>175</v>
      </c>
      <c r="F34" s="4">
        <v>177</v>
      </c>
      <c r="G34" s="4">
        <v>655</v>
      </c>
    </row>
    <row r="35" spans="1:7" x14ac:dyDescent="0.25">
      <c r="A35" s="4" t="s">
        <v>40</v>
      </c>
      <c r="B35" s="4" t="s">
        <v>44</v>
      </c>
      <c r="C35" s="4">
        <v>158</v>
      </c>
      <c r="D35" s="4">
        <v>144</v>
      </c>
      <c r="E35" s="4">
        <v>161</v>
      </c>
      <c r="F35" s="4">
        <v>181</v>
      </c>
      <c r="G35" s="4">
        <v>644</v>
      </c>
    </row>
    <row r="36" spans="1:7" x14ac:dyDescent="0.25">
      <c r="A36" s="4" t="s">
        <v>149</v>
      </c>
      <c r="B36" s="4" t="s">
        <v>172</v>
      </c>
      <c r="C36" s="4">
        <v>152</v>
      </c>
      <c r="D36" s="4">
        <v>127</v>
      </c>
      <c r="E36" s="4">
        <v>173</v>
      </c>
      <c r="F36" s="4">
        <v>191</v>
      </c>
      <c r="G36" s="4">
        <v>643</v>
      </c>
    </row>
    <row r="37" spans="1:7" x14ac:dyDescent="0.25">
      <c r="A37" s="4" t="s">
        <v>27</v>
      </c>
      <c r="B37" s="4" t="s">
        <v>31</v>
      </c>
      <c r="C37" s="4">
        <v>123</v>
      </c>
      <c r="D37" s="4">
        <v>185</v>
      </c>
      <c r="E37" s="4">
        <v>139</v>
      </c>
      <c r="F37" s="4">
        <v>195</v>
      </c>
      <c r="G37" s="4">
        <v>642</v>
      </c>
    </row>
    <row r="38" spans="1:7" x14ac:dyDescent="0.25">
      <c r="A38" s="4" t="s">
        <v>27</v>
      </c>
      <c r="B38" s="4" t="s">
        <v>29</v>
      </c>
      <c r="C38" s="4">
        <v>146</v>
      </c>
      <c r="D38" s="4">
        <v>135</v>
      </c>
      <c r="E38" s="4">
        <v>152</v>
      </c>
      <c r="F38" s="4">
        <v>178</v>
      </c>
      <c r="G38" s="4">
        <v>611</v>
      </c>
    </row>
    <row r="39" spans="1:7" x14ac:dyDescent="0.25">
      <c r="A39" s="4" t="s">
        <v>9</v>
      </c>
      <c r="B39" s="4" t="s">
        <v>25</v>
      </c>
      <c r="C39" s="4">
        <v>158</v>
      </c>
      <c r="D39" s="4"/>
      <c r="E39" s="4">
        <v>184</v>
      </c>
      <c r="F39" s="4">
        <v>221</v>
      </c>
      <c r="G39" s="4">
        <v>563</v>
      </c>
    </row>
    <row r="40" spans="1:7" x14ac:dyDescent="0.25">
      <c r="A40" s="4" t="s">
        <v>27</v>
      </c>
      <c r="B40" s="4" t="s">
        <v>32</v>
      </c>
      <c r="C40" s="4">
        <v>133</v>
      </c>
      <c r="D40" s="4">
        <v>161</v>
      </c>
      <c r="E40" s="4">
        <v>134</v>
      </c>
      <c r="F40" s="4">
        <v>125</v>
      </c>
      <c r="G40" s="4">
        <v>553</v>
      </c>
    </row>
    <row r="41" spans="1:7" x14ac:dyDescent="0.25">
      <c r="A41" s="4" t="s">
        <v>27</v>
      </c>
      <c r="B41" s="4" t="s">
        <v>30</v>
      </c>
      <c r="C41" s="4">
        <v>126</v>
      </c>
      <c r="D41" s="4">
        <v>135</v>
      </c>
      <c r="E41" s="4">
        <v>138</v>
      </c>
      <c r="F41" s="4">
        <v>146</v>
      </c>
      <c r="G41" s="4">
        <v>545</v>
      </c>
    </row>
    <row r="42" spans="1:7" x14ac:dyDescent="0.25">
      <c r="A42" s="4" t="s">
        <v>9</v>
      </c>
      <c r="B42" s="4" t="s">
        <v>22</v>
      </c>
      <c r="C42" s="4">
        <v>179</v>
      </c>
      <c r="D42" s="4">
        <v>146</v>
      </c>
      <c r="E42" s="4"/>
      <c r="F42" s="4">
        <v>209</v>
      </c>
      <c r="G42" s="4">
        <v>534</v>
      </c>
    </row>
    <row r="43" spans="1:7" x14ac:dyDescent="0.25">
      <c r="A43" s="4" t="s">
        <v>40</v>
      </c>
      <c r="B43" s="4" t="s">
        <v>41</v>
      </c>
      <c r="C43" s="4">
        <v>116</v>
      </c>
      <c r="D43" s="4">
        <v>126</v>
      </c>
      <c r="E43" s="4">
        <v>126</v>
      </c>
      <c r="F43" s="4">
        <v>155</v>
      </c>
      <c r="G43" s="4">
        <v>523</v>
      </c>
    </row>
    <row r="44" spans="1:7" x14ac:dyDescent="0.25">
      <c r="A44" s="4" t="s">
        <v>135</v>
      </c>
      <c r="B44" s="4" t="s">
        <v>138</v>
      </c>
      <c r="C44" s="4">
        <v>128</v>
      </c>
      <c r="D44" s="4"/>
      <c r="E44" s="4">
        <v>229</v>
      </c>
      <c r="F44" s="4">
        <v>156</v>
      </c>
      <c r="G44" s="4">
        <v>513</v>
      </c>
    </row>
    <row r="45" spans="1:7" x14ac:dyDescent="0.25">
      <c r="A45" s="4" t="s">
        <v>97</v>
      </c>
      <c r="B45" s="4" t="s">
        <v>100</v>
      </c>
      <c r="C45" s="4">
        <v>191</v>
      </c>
      <c r="D45" s="4">
        <v>166</v>
      </c>
      <c r="E45" s="4">
        <v>136</v>
      </c>
      <c r="F45" s="4"/>
      <c r="G45" s="4">
        <v>493</v>
      </c>
    </row>
    <row r="46" spans="1:7" x14ac:dyDescent="0.25">
      <c r="A46" s="4" t="s">
        <v>97</v>
      </c>
      <c r="B46" s="4" t="s">
        <v>99</v>
      </c>
      <c r="C46" s="4">
        <v>168</v>
      </c>
      <c r="D46" s="4">
        <v>177</v>
      </c>
      <c r="E46" s="4">
        <v>138</v>
      </c>
      <c r="F46" s="4"/>
      <c r="G46" s="4">
        <v>483</v>
      </c>
    </row>
    <row r="47" spans="1:7" x14ac:dyDescent="0.25">
      <c r="A47" s="4" t="s">
        <v>78</v>
      </c>
      <c r="B47" s="4" t="s">
        <v>79</v>
      </c>
      <c r="C47" s="4"/>
      <c r="D47" s="4">
        <v>149</v>
      </c>
      <c r="E47" s="4">
        <v>147</v>
      </c>
      <c r="F47" s="4">
        <v>150</v>
      </c>
      <c r="G47" s="4">
        <v>446</v>
      </c>
    </row>
    <row r="48" spans="1:7" x14ac:dyDescent="0.25">
      <c r="A48" s="4" t="s">
        <v>149</v>
      </c>
      <c r="B48" s="4" t="s">
        <v>169</v>
      </c>
      <c r="C48" s="4"/>
      <c r="D48" s="4"/>
      <c r="E48" s="4">
        <v>152</v>
      </c>
      <c r="F48" s="4">
        <v>199</v>
      </c>
      <c r="G48" s="4">
        <v>351</v>
      </c>
    </row>
    <row r="49" spans="1:7" x14ac:dyDescent="0.25">
      <c r="A49" s="4" t="s">
        <v>113</v>
      </c>
      <c r="B49" s="4" t="s">
        <v>118</v>
      </c>
      <c r="C49" s="4"/>
      <c r="D49" s="4"/>
      <c r="E49" s="4">
        <v>184</v>
      </c>
      <c r="F49" s="4">
        <v>167</v>
      </c>
      <c r="G49" s="4">
        <v>351</v>
      </c>
    </row>
    <row r="50" spans="1:7" x14ac:dyDescent="0.25">
      <c r="A50" s="4" t="s">
        <v>9</v>
      </c>
      <c r="B50" s="4" t="s">
        <v>23</v>
      </c>
      <c r="C50" s="4">
        <v>162</v>
      </c>
      <c r="D50" s="4"/>
      <c r="E50" s="4">
        <v>157</v>
      </c>
      <c r="F50" s="4"/>
      <c r="G50" s="4">
        <v>319</v>
      </c>
    </row>
    <row r="51" spans="1:7" x14ac:dyDescent="0.25">
      <c r="A51" s="4" t="s">
        <v>9</v>
      </c>
      <c r="B51" s="4" t="s">
        <v>24</v>
      </c>
      <c r="C51" s="4"/>
      <c r="D51" s="4">
        <v>158</v>
      </c>
      <c r="E51" s="4"/>
      <c r="F51" s="4">
        <v>139</v>
      </c>
      <c r="G51" s="4">
        <v>297</v>
      </c>
    </row>
    <row r="52" spans="1:7" x14ac:dyDescent="0.25">
      <c r="A52" s="4" t="s">
        <v>9</v>
      </c>
      <c r="B52" s="4" t="s">
        <v>26</v>
      </c>
      <c r="C52" s="4"/>
      <c r="D52" s="4">
        <v>147</v>
      </c>
      <c r="E52" s="4">
        <v>143</v>
      </c>
      <c r="F52" s="4"/>
      <c r="G52" s="4">
        <v>290</v>
      </c>
    </row>
    <row r="53" spans="1:7" x14ac:dyDescent="0.25">
      <c r="A53" s="4" t="s">
        <v>135</v>
      </c>
      <c r="B53" s="4" t="s">
        <v>139</v>
      </c>
      <c r="C53" s="4"/>
      <c r="D53" s="4">
        <v>143</v>
      </c>
      <c r="E53" s="4">
        <v>137</v>
      </c>
      <c r="F53" s="4"/>
      <c r="G53" s="4">
        <v>280</v>
      </c>
    </row>
    <row r="54" spans="1:7" x14ac:dyDescent="0.25">
      <c r="A54" s="4" t="s">
        <v>135</v>
      </c>
      <c r="B54" s="4" t="s">
        <v>142</v>
      </c>
      <c r="C54" s="4">
        <v>120</v>
      </c>
      <c r="D54" s="4"/>
      <c r="E54" s="4"/>
      <c r="F54" s="4">
        <v>113</v>
      </c>
      <c r="G54" s="4">
        <v>233</v>
      </c>
    </row>
    <row r="55" spans="1:7" x14ac:dyDescent="0.25">
      <c r="A55" s="4" t="s">
        <v>97</v>
      </c>
      <c r="B55" s="4" t="s">
        <v>104</v>
      </c>
      <c r="C55" s="4"/>
      <c r="D55" s="4"/>
      <c r="E55" s="4"/>
      <c r="F55" s="4">
        <v>186</v>
      </c>
      <c r="G55" s="4">
        <v>186</v>
      </c>
    </row>
    <row r="56" spans="1:7" x14ac:dyDescent="0.25">
      <c r="A56" s="4" t="s">
        <v>113</v>
      </c>
      <c r="B56" s="4" t="s">
        <v>119</v>
      </c>
      <c r="C56" s="4">
        <v>168</v>
      </c>
      <c r="D56" s="4"/>
      <c r="E56" s="4"/>
      <c r="F56" s="4"/>
      <c r="G56" s="4">
        <v>168</v>
      </c>
    </row>
    <row r="57" spans="1:7" x14ac:dyDescent="0.25">
      <c r="A57" s="4" t="s">
        <v>97</v>
      </c>
      <c r="B57" s="4" t="s">
        <v>105</v>
      </c>
      <c r="C57" s="4"/>
      <c r="D57" s="4"/>
      <c r="E57" s="4"/>
      <c r="F57" s="4">
        <v>163</v>
      </c>
      <c r="G57" s="4">
        <v>163</v>
      </c>
    </row>
    <row r="58" spans="1:7" x14ac:dyDescent="0.25">
      <c r="A58" s="4" t="s">
        <v>149</v>
      </c>
      <c r="B58" s="4" t="s">
        <v>170</v>
      </c>
      <c r="C58" s="4"/>
      <c r="D58" s="4">
        <v>154</v>
      </c>
      <c r="E58" s="4"/>
      <c r="F58" s="4"/>
      <c r="G58" s="4">
        <v>154</v>
      </c>
    </row>
    <row r="59" spans="1:7" x14ac:dyDescent="0.25">
      <c r="A59" s="4" t="s">
        <v>113</v>
      </c>
      <c r="B59" s="4" t="s">
        <v>120</v>
      </c>
      <c r="C59" s="4"/>
      <c r="D59" s="4">
        <v>149</v>
      </c>
      <c r="E59" s="4"/>
      <c r="F59" s="4"/>
      <c r="G59" s="4">
        <v>149</v>
      </c>
    </row>
    <row r="60" spans="1:7" x14ac:dyDescent="0.25">
      <c r="A60" s="4" t="s">
        <v>149</v>
      </c>
      <c r="B60" s="4" t="s">
        <v>173</v>
      </c>
      <c r="C60" s="4">
        <v>138</v>
      </c>
      <c r="D60" s="4"/>
      <c r="E60" s="4"/>
      <c r="F60" s="4"/>
      <c r="G60" s="4">
        <v>138</v>
      </c>
    </row>
    <row r="61" spans="1:7" x14ac:dyDescent="0.25">
      <c r="A61" s="4" t="s">
        <v>135</v>
      </c>
      <c r="B61" s="4" t="s">
        <v>140</v>
      </c>
      <c r="C61" s="4"/>
      <c r="D61" s="4">
        <v>130</v>
      </c>
      <c r="E61" s="4"/>
      <c r="F61" s="4"/>
      <c r="G61" s="4">
        <v>130</v>
      </c>
    </row>
    <row r="62" spans="1:7" x14ac:dyDescent="0.25">
      <c r="A62" s="4" t="s">
        <v>78</v>
      </c>
      <c r="B62" s="4" t="s">
        <v>174</v>
      </c>
      <c r="C62" s="4">
        <v>114</v>
      </c>
      <c r="D62" s="4"/>
      <c r="E62" s="4"/>
      <c r="F62" s="4"/>
      <c r="G62" s="4">
        <v>114</v>
      </c>
    </row>
    <row r="63" spans="1:7" x14ac:dyDescent="0.25">
      <c r="A63" s="4" t="s">
        <v>78</v>
      </c>
      <c r="B63" s="4" t="s">
        <v>81</v>
      </c>
      <c r="C63" s="4"/>
      <c r="D63" s="4"/>
      <c r="E63" s="4"/>
      <c r="F63" s="4"/>
      <c r="G63" s="4">
        <v>0</v>
      </c>
    </row>
    <row r="64" spans="1:7" x14ac:dyDescent="0.25">
      <c r="A64" s="4" t="s">
        <v>149</v>
      </c>
      <c r="B64" s="4" t="s">
        <v>171</v>
      </c>
      <c r="C64" s="4"/>
      <c r="D64" s="4"/>
      <c r="E64" s="4"/>
      <c r="F64" s="4"/>
      <c r="G64" s="4">
        <v>0</v>
      </c>
    </row>
    <row r="65" spans="1:7" x14ac:dyDescent="0.25">
      <c r="A65" s="4" t="s">
        <v>97</v>
      </c>
      <c r="B65" s="4" t="s">
        <v>102</v>
      </c>
      <c r="C65" s="4"/>
      <c r="D65" s="4"/>
      <c r="E65" s="4"/>
      <c r="F65" s="4"/>
      <c r="G65" s="4">
        <v>0</v>
      </c>
    </row>
    <row r="66" spans="1:7" x14ac:dyDescent="0.25">
      <c r="A66" s="4" t="s">
        <v>65</v>
      </c>
      <c r="B66" s="4" t="s">
        <v>66</v>
      </c>
      <c r="C66" s="4"/>
      <c r="D66" s="4"/>
      <c r="E66" s="4"/>
      <c r="F66" s="4"/>
      <c r="G66" s="4">
        <v>0</v>
      </c>
    </row>
    <row r="67" spans="1:7" x14ac:dyDescent="0.25">
      <c r="A67" s="4" t="s">
        <v>65</v>
      </c>
      <c r="B67" s="4" t="s">
        <v>69</v>
      </c>
      <c r="C67" s="4"/>
      <c r="D67" s="4"/>
      <c r="E67" s="4"/>
      <c r="F67" s="4"/>
      <c r="G67" s="4">
        <v>0</v>
      </c>
    </row>
  </sheetData>
  <sortState xmlns:xlrd2="http://schemas.microsoft.com/office/spreadsheetml/2017/richdata2" ref="A2:P67">
    <sortCondition descending="1" ref="G2:G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Women's Scores</vt:lpstr>
      <vt:lpstr>Team Women</vt:lpstr>
      <vt:lpstr>Individual Women</vt:lpstr>
      <vt:lpstr>Standing sheet</vt:lpstr>
      <vt:lpstr>Men's Scores</vt:lpstr>
      <vt:lpstr>Team Men</vt:lpstr>
      <vt:lpstr>Individual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</dc:creator>
  <cp:lastModifiedBy>Nicholas Hoagland</cp:lastModifiedBy>
  <cp:lastPrinted>2020-10-25T22:01:03Z</cp:lastPrinted>
  <dcterms:created xsi:type="dcterms:W3CDTF">2014-10-06T18:55:25Z</dcterms:created>
  <dcterms:modified xsi:type="dcterms:W3CDTF">2020-10-25T22:15:39Z</dcterms:modified>
</cp:coreProperties>
</file>