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har\Desktop\H2M Management\"/>
    </mc:Choice>
  </mc:AlternateContent>
  <xr:revisionPtr revIDLastSave="0" documentId="13_ncr:1_{8D4AB537-1E7A-4C40-83B5-84DB7A8EC4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core Entry" sheetId="1" r:id="rId1"/>
    <sheet name="Lane Cross" sheetId="2" r:id="rId2"/>
    <sheet name="Prize fu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" i="1" l="1"/>
  <c r="Q24" i="1"/>
  <c r="Q11" i="1"/>
  <c r="Q10" i="1"/>
  <c r="Q4" i="1"/>
  <c r="Q35" i="1"/>
  <c r="Q27" i="1"/>
  <c r="Q13" i="1"/>
  <c r="Q21" i="1"/>
  <c r="Q37" i="1"/>
  <c r="Q34" i="1"/>
  <c r="Q20" i="1"/>
  <c r="Q8" i="1"/>
  <c r="Q3" i="1"/>
  <c r="Q33" i="1"/>
  <c r="Q36" i="1"/>
  <c r="Q19" i="1"/>
  <c r="Q25" i="1"/>
  <c r="Q12" i="1"/>
  <c r="Q6" i="1"/>
  <c r="Q5" i="1"/>
  <c r="Q15" i="1"/>
  <c r="Q22" i="1"/>
  <c r="Q7" i="1"/>
  <c r="Q29" i="1"/>
  <c r="Q26" i="1"/>
  <c r="Q9" i="1"/>
  <c r="Q16" i="1"/>
  <c r="Q23" i="1"/>
  <c r="Q14" i="1"/>
  <c r="Q32" i="1"/>
  <c r="Q17" i="1"/>
  <c r="Q18" i="1"/>
  <c r="Q30" i="1"/>
  <c r="T5" i="1"/>
  <c r="T7" i="1"/>
  <c r="T8" i="1"/>
  <c r="T9" i="1"/>
  <c r="O37" i="1"/>
  <c r="O20" i="1"/>
  <c r="O19" i="1"/>
  <c r="O36" i="1"/>
  <c r="O34" i="1"/>
  <c r="O24" i="1"/>
  <c r="O3" i="1"/>
  <c r="O8" i="1"/>
  <c r="O4" i="1"/>
  <c r="O12" i="1"/>
  <c r="O22" i="1"/>
  <c r="O21" i="1"/>
  <c r="O5" i="1"/>
  <c r="O11" i="1"/>
  <c r="O26" i="1"/>
  <c r="O9" i="1"/>
  <c r="O13" i="1"/>
  <c r="O6" i="1"/>
  <c r="O27" i="1"/>
  <c r="O18" i="1"/>
  <c r="O16" i="1"/>
  <c r="O17" i="1"/>
  <c r="O25" i="1"/>
  <c r="O23" i="1"/>
  <c r="O29" i="1"/>
  <c r="O31" i="1"/>
  <c r="O30" i="1"/>
  <c r="O15" i="1"/>
  <c r="O10" i="1"/>
  <c r="O7" i="1"/>
  <c r="O33" i="1"/>
  <c r="O28" i="1"/>
  <c r="O32" i="1"/>
  <c r="O14" i="1"/>
  <c r="O35" i="1"/>
  <c r="M28" i="1"/>
  <c r="M9" i="1"/>
  <c r="M6" i="1"/>
  <c r="M3" i="1"/>
  <c r="M8" i="1"/>
  <c r="M4" i="1"/>
  <c r="M21" i="1"/>
  <c r="M24" i="1"/>
  <c r="M26" i="1"/>
  <c r="M34" i="1"/>
  <c r="M16" i="1"/>
  <c r="M10" i="1"/>
  <c r="M5" i="1"/>
  <c r="M12" i="1"/>
  <c r="M30" i="1"/>
  <c r="M11" i="1"/>
  <c r="M19" i="1"/>
  <c r="M25" i="1"/>
  <c r="M35" i="1"/>
  <c r="M18" i="1"/>
  <c r="M36" i="1"/>
  <c r="M20" i="1"/>
  <c r="M32" i="1"/>
  <c r="M13" i="1"/>
  <c r="M29" i="1"/>
  <c r="M27" i="1"/>
  <c r="M7" i="1"/>
  <c r="M22" i="1"/>
  <c r="M14" i="1"/>
  <c r="M31" i="1"/>
  <c r="M15" i="1"/>
  <c r="M17" i="1"/>
  <c r="M37" i="1"/>
  <c r="M23" i="1"/>
  <c r="M33" i="1"/>
  <c r="K11" i="1"/>
  <c r="K25" i="1"/>
  <c r="K13" i="1"/>
  <c r="K12" i="1"/>
  <c r="K32" i="1"/>
  <c r="K8" i="1"/>
  <c r="K27" i="1"/>
  <c r="K35" i="1"/>
  <c r="K31" i="1"/>
  <c r="K20" i="1"/>
  <c r="K37" i="1"/>
  <c r="K24" i="1"/>
  <c r="K33" i="1"/>
  <c r="K21" i="1"/>
  <c r="K17" i="1"/>
  <c r="K10" i="1"/>
  <c r="K26" i="1"/>
  <c r="K22" i="1"/>
  <c r="K9" i="1"/>
  <c r="K6" i="1"/>
  <c r="K34" i="1"/>
  <c r="K36" i="1"/>
  <c r="K14" i="1"/>
  <c r="K18" i="1"/>
  <c r="K29" i="1"/>
  <c r="K30" i="1"/>
  <c r="K4" i="1"/>
  <c r="K19" i="1"/>
  <c r="K5" i="1"/>
  <c r="K7" i="1"/>
  <c r="K3" i="1"/>
  <c r="K23" i="1"/>
  <c r="K15" i="1"/>
  <c r="K28" i="1"/>
  <c r="K16" i="1"/>
  <c r="I28" i="1"/>
  <c r="I24" i="1"/>
  <c r="I29" i="1"/>
  <c r="I34" i="1"/>
  <c r="I19" i="1"/>
  <c r="I13" i="1"/>
  <c r="I5" i="1"/>
  <c r="I4" i="1"/>
  <c r="I16" i="1"/>
  <c r="I36" i="1"/>
  <c r="I25" i="1"/>
  <c r="I32" i="1"/>
  <c r="I11" i="1"/>
  <c r="I35" i="1"/>
  <c r="I31" i="1"/>
  <c r="I26" i="1"/>
  <c r="I37" i="1"/>
  <c r="I3" i="1"/>
  <c r="I27" i="1"/>
  <c r="I17" i="1"/>
  <c r="I14" i="1"/>
  <c r="I20" i="1"/>
  <c r="I8" i="1"/>
  <c r="I12" i="1"/>
  <c r="I15" i="1"/>
  <c r="I21" i="1"/>
  <c r="I6" i="1"/>
  <c r="I9" i="1"/>
  <c r="I22" i="1"/>
  <c r="I30" i="1"/>
  <c r="I23" i="1"/>
  <c r="I18" i="1"/>
  <c r="I10" i="1"/>
  <c r="I7" i="1"/>
  <c r="I33" i="1"/>
  <c r="D38" i="1"/>
  <c r="E38" i="1"/>
  <c r="C3" i="3"/>
  <c r="C4" i="3"/>
  <c r="C5" i="3"/>
  <c r="C6" i="3"/>
  <c r="C7" i="3"/>
  <c r="C8" i="3"/>
  <c r="C2" i="3"/>
  <c r="G3" i="1"/>
  <c r="G28" i="1"/>
  <c r="G13" i="1"/>
  <c r="G36" i="1"/>
  <c r="G11" i="1"/>
  <c r="G8" i="1"/>
  <c r="G9" i="1"/>
  <c r="G34" i="1"/>
  <c r="G37" i="1"/>
  <c r="G35" i="1"/>
  <c r="G24" i="1"/>
  <c r="G21" i="1"/>
  <c r="G19" i="1"/>
  <c r="G16" i="1"/>
  <c r="G23" i="1"/>
  <c r="G4" i="1"/>
  <c r="G22" i="1"/>
  <c r="G29" i="1"/>
  <c r="G20" i="1"/>
  <c r="G12" i="1"/>
  <c r="G26" i="1"/>
  <c r="G32" i="1"/>
  <c r="G27" i="1"/>
  <c r="G10" i="1"/>
  <c r="G6" i="1"/>
  <c r="G15" i="1"/>
  <c r="G14" i="1" l="1"/>
  <c r="E14" i="1" s="1"/>
  <c r="G5" i="1"/>
  <c r="E5" i="1" s="1"/>
  <c r="G17" i="1"/>
  <c r="E17" i="1" s="1"/>
  <c r="G25" i="1"/>
  <c r="E25" i="1" s="1"/>
  <c r="G18" i="1"/>
  <c r="E18" i="1" s="1"/>
  <c r="G30" i="1"/>
  <c r="E30" i="1" s="1"/>
  <c r="G7" i="1"/>
  <c r="E7" i="1" s="1"/>
  <c r="G31" i="1"/>
  <c r="E31" i="1" s="1"/>
  <c r="G33" i="1"/>
  <c r="E33" i="1" s="1"/>
  <c r="D33" i="1"/>
  <c r="D10" i="1"/>
  <c r="E10" i="1"/>
  <c r="E15" i="1"/>
  <c r="E21" i="1"/>
  <c r="E6" i="1"/>
  <c r="E19" i="1"/>
  <c r="E4" i="1"/>
  <c r="E12" i="1"/>
  <c r="E27" i="1"/>
  <c r="E28" i="1"/>
  <c r="E24" i="1"/>
  <c r="E26" i="1"/>
  <c r="E8" i="1"/>
  <c r="E29" i="1"/>
  <c r="E20" i="1"/>
  <c r="E3" i="1"/>
  <c r="E9" i="1"/>
  <c r="E13" i="1"/>
  <c r="E37" i="1"/>
  <c r="E32" i="1"/>
  <c r="E22" i="1"/>
  <c r="E35" i="1"/>
  <c r="E36" i="1"/>
  <c r="E23" i="1"/>
  <c r="E16" i="1"/>
  <c r="E11" i="1"/>
  <c r="E34" i="1"/>
  <c r="D15" i="1"/>
  <c r="D21" i="1"/>
  <c r="D6" i="1"/>
  <c r="D31" i="1"/>
  <c r="D19" i="1"/>
  <c r="D4" i="1"/>
  <c r="D12" i="1"/>
  <c r="D27" i="1"/>
  <c r="D28" i="1"/>
  <c r="D24" i="1"/>
  <c r="D26" i="1"/>
  <c r="D5" i="1"/>
  <c r="D8" i="1"/>
  <c r="D29" i="1"/>
  <c r="D20" i="1"/>
  <c r="D3" i="1"/>
  <c r="D17" i="1"/>
  <c r="D9" i="1"/>
  <c r="D13" i="1"/>
  <c r="D25" i="1"/>
  <c r="D37" i="1"/>
  <c r="D32" i="1"/>
  <c r="D22" i="1"/>
  <c r="D35" i="1"/>
  <c r="D36" i="1"/>
  <c r="D18" i="1"/>
  <c r="D23" i="1"/>
  <c r="D14" i="1"/>
  <c r="D16" i="1"/>
  <c r="D7" i="1"/>
  <c r="D11" i="1"/>
  <c r="D34" i="1"/>
  <c r="D30" i="1"/>
</calcChain>
</file>

<file path=xl/sharedStrings.xml><?xml version="1.0" encoding="utf-8"?>
<sst xmlns="http://schemas.openxmlformats.org/spreadsheetml/2006/main" count="119" uniqueCount="91">
  <si>
    <t>TOTAL</t>
  </si>
  <si>
    <t>GM 1</t>
  </si>
  <si>
    <t>GM 2</t>
  </si>
  <si>
    <t>GM 3</t>
  </si>
  <si>
    <t>GM 4</t>
  </si>
  <si>
    <t>GM 5</t>
  </si>
  <si>
    <t>GM 6</t>
  </si>
  <si>
    <t>POINTS</t>
  </si>
  <si>
    <t>PINS</t>
  </si>
  <si>
    <t>Place</t>
  </si>
  <si>
    <t>Team</t>
  </si>
  <si>
    <t>Lane</t>
  </si>
  <si>
    <t>Seprodi/Walker/Storey</t>
  </si>
  <si>
    <t>Game 1</t>
  </si>
  <si>
    <t>Game 2</t>
  </si>
  <si>
    <t>Game 3</t>
  </si>
  <si>
    <t>Game 4</t>
  </si>
  <si>
    <t>Game 5</t>
  </si>
  <si>
    <t>Game 6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</si>
  <si>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</si>
  <si>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</si>
  <si>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</si>
  <si>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</si>
  <si>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</si>
  <si>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</si>
  <si>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</si>
  <si>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</si>
  <si>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</si>
  <si>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</si>
  <si>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</si>
  <si>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</si>
  <si>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</si>
  <si>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</si>
  <si>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</si>
  <si>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</si>
  <si>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</si>
  <si>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</si>
  <si>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</si>
  <si>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</si>
  <si>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</si>
  <si>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</si>
  <si>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</si>
  <si>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</si>
  <si>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Riddle/Gimble/Holford</t>
  </si>
  <si>
    <t>Weidman/Kramer/Monroe</t>
  </si>
  <si>
    <t>Baumann/Lucas/Schubert</t>
  </si>
  <si>
    <t>Pollard/Pavy/Adler</t>
  </si>
  <si>
    <t>Rice/King/Moore</t>
  </si>
  <si>
    <t>New/Ward/New</t>
  </si>
  <si>
    <t>Seyffarth/Mattingly/Hibbard</t>
  </si>
  <si>
    <t>Ward/Long/Pepper</t>
  </si>
  <si>
    <t>Caldwell/Krzywonos/Burchfield</t>
  </si>
  <si>
    <t>Logan/Lewis/Brown</t>
  </si>
  <si>
    <t>Clark/Lang/Sullivan</t>
  </si>
  <si>
    <t>Perry/Mathes/Frederick</t>
  </si>
  <si>
    <t>Day/Day/Fields</t>
  </si>
  <si>
    <t>Novak/Farish/Flora</t>
  </si>
  <si>
    <t>Cline/Nemes/Trone</t>
  </si>
  <si>
    <t>Burton/Glaze/Schultz</t>
  </si>
  <si>
    <t>Bergman/Mohan/Gordon</t>
  </si>
  <si>
    <t>Schaeffer/Atchison/Harvey</t>
  </si>
  <si>
    <t>Mann/Sutton/Knight</t>
  </si>
  <si>
    <t xml:space="preserve">Jones/Irwin/Johnson </t>
  </si>
  <si>
    <t>Freeman/Tackett/Russell</t>
  </si>
  <si>
    <t>Harris/Vaughn/Glaze</t>
  </si>
  <si>
    <t>Brownfield/White/Browne</t>
  </si>
  <si>
    <t>Didion/Didion/Baldwin</t>
  </si>
  <si>
    <t>Lunsford/Mosley/Hurt</t>
  </si>
  <si>
    <t>Thurston/Thompson/Thompson</t>
  </si>
  <si>
    <t>Holford/Burns/Holford</t>
  </si>
  <si>
    <t>Robertson/Hampton/Wilhelm</t>
  </si>
  <si>
    <t>Glover/Brown/Wagner</t>
  </si>
  <si>
    <t>Robinson/Curtis/Myers</t>
  </si>
  <si>
    <t>Ferguson/Ferguson/Smith-Dill</t>
  </si>
  <si>
    <t>Carr/Rhodes/Dwenger</t>
  </si>
  <si>
    <t>Clark/Newman/Mavrick</t>
  </si>
  <si>
    <t>Kittrell/Grego/Hersha</t>
  </si>
  <si>
    <t>25th</t>
  </si>
  <si>
    <t>26th</t>
  </si>
  <si>
    <t>27th</t>
  </si>
  <si>
    <t>28th</t>
  </si>
  <si>
    <t>29th</t>
  </si>
  <si>
    <t>30th</t>
  </si>
  <si>
    <t>31st</t>
  </si>
  <si>
    <t>32nd</t>
  </si>
  <si>
    <t>33rd</t>
  </si>
  <si>
    <t>34th</t>
  </si>
  <si>
    <t>35th</t>
  </si>
  <si>
    <t>36th</t>
  </si>
  <si>
    <t>Per Bowler</t>
  </si>
  <si>
    <t>BYE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</si>
</sst>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  <xf numFmtId="0" fontId="5" fillId="7" borderId="0" applyNumberFormat="0" applyBorder="0" applyAlignment="0" applyProtection="0"/>
    <xf numFmtId="0" fontId="6" fillId="8" borderId="0" applyNumberFormat="0" applyBorder="0" applyAlignment="0" applyProtection="0"/>
  </cellStyleXfs>
  <cellXfs count="30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6" borderId="3" xfId="1" applyFont="1" applyFill="1" applyBorder="1" applyAlignment="1">
      <alignment horizontal="center" vertical="center"/>
    </xf>
    <xf numFmtId="0" fontId="8" fillId="0" borderId="3" xfId="3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0" borderId="3" xfId="2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6" borderId="3" xfId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/>
    </xf>
    <xf numFmtId="0" fontId="7" fillId="0" borderId="3" xfId="5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7" borderId="0" xfId="4" applyNumberFormat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6">
    <cellStyle name="Bad" xfId="1" builtinId="27"/>
    <cellStyle name="Calculation" xfId="2" builtinId="22"/>
    <cellStyle name="Good" xfId="4" builtinId="26"/>
    <cellStyle name="Neutral" xfId="5" builtinId="28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zoomScaleNormal="100" workbookViewId="0">
      <selection activeCell="S3" sqref="S3:S9"/>
    </sheetView>
  </sheetViews>
  <sheetFormatPr defaultColWidth="9" defaultRowHeight="15.75" x14ac:dyDescent="0.25"/>
  <cols>
    <col min="1" max="1" width="7.7109375" style="8" bestFit="1" customWidth="1"/>
    <col min="2" max="2" width="7" style="8" bestFit="1" customWidth="1"/>
    <col min="3" max="3" width="40.28515625" style="8" bestFit="1" customWidth="1"/>
    <col min="4" max="4" width="10.5703125" style="8" bestFit="1" customWidth="1"/>
    <col min="5" max="5" width="9.28515625" style="8" bestFit="1" customWidth="1"/>
    <col min="6" max="6" width="10.5703125" style="8" bestFit="1" customWidth="1"/>
    <col min="7" max="7" width="8" style="8" bestFit="1" customWidth="1"/>
    <col min="8" max="8" width="10.5703125" style="8" bestFit="1" customWidth="1"/>
    <col min="9" max="9" width="8" style="8" bestFit="1" customWidth="1"/>
    <col min="10" max="10" width="10.5703125" style="8" bestFit="1" customWidth="1"/>
    <col min="11" max="11" width="8" style="8" bestFit="1" customWidth="1"/>
    <col min="12" max="12" width="10.5703125" style="8" bestFit="1" customWidth="1"/>
    <col min="13" max="13" width="8" style="8" bestFit="1" customWidth="1"/>
    <col min="14" max="14" width="10.5703125" style="8" bestFit="1" customWidth="1"/>
    <col min="15" max="15" width="8" style="8" bestFit="1" customWidth="1"/>
    <col min="16" max="16" width="10.5703125" style="8" bestFit="1" customWidth="1"/>
    <col min="17" max="17" width="8" style="8" bestFit="1" customWidth="1"/>
    <col min="18" max="18" width="9" style="8"/>
    <col min="19" max="19" width="10.140625" style="26" bestFit="1" customWidth="1"/>
    <col min="20" max="16384" width="9" style="8"/>
  </cols>
  <sheetData>
    <row r="1" spans="1:20" x14ac:dyDescent="0.25">
      <c r="A1" s="28" t="s">
        <v>9</v>
      </c>
      <c r="B1" s="28" t="s">
        <v>11</v>
      </c>
      <c r="C1" s="28" t="s">
        <v>10</v>
      </c>
      <c r="D1" s="4" t="s">
        <v>0</v>
      </c>
      <c r="E1" s="4" t="s">
        <v>0</v>
      </c>
      <c r="F1" s="5" t="s">
        <v>1</v>
      </c>
      <c r="G1" s="5" t="s">
        <v>1</v>
      </c>
      <c r="H1" s="6" t="s">
        <v>2</v>
      </c>
      <c r="I1" s="6" t="s">
        <v>2</v>
      </c>
      <c r="J1" s="7" t="s">
        <v>3</v>
      </c>
      <c r="K1" s="7" t="s">
        <v>3</v>
      </c>
      <c r="L1" s="6" t="s">
        <v>4</v>
      </c>
      <c r="M1" s="6" t="s">
        <v>4</v>
      </c>
      <c r="N1" s="5" t="s">
        <v>5</v>
      </c>
      <c r="O1" s="5" t="s">
        <v>5</v>
      </c>
      <c r="P1" s="6" t="s">
        <v>6</v>
      </c>
      <c r="Q1" s="6" t="s">
        <v>6</v>
      </c>
    </row>
    <row r="2" spans="1:20" x14ac:dyDescent="0.25">
      <c r="A2" s="28"/>
      <c r="B2" s="28"/>
      <c r="C2" s="28"/>
      <c r="D2" s="4" t="s">
        <v>7</v>
      </c>
      <c r="E2" s="4" t="s">
        <v>8</v>
      </c>
      <c r="F2" s="5" t="s">
        <v>7</v>
      </c>
      <c r="G2" s="5" t="s">
        <v>8</v>
      </c>
      <c r="H2" s="6" t="s">
        <v>7</v>
      </c>
      <c r="I2" s="6" t="s">
        <v>8</v>
      </c>
      <c r="J2" s="7" t="s">
        <v>7</v>
      </c>
      <c r="K2" s="7" t="s">
        <v>8</v>
      </c>
      <c r="L2" s="6" t="s">
        <v>7</v>
      </c>
      <c r="M2" s="6" t="s">
        <v>8</v>
      </c>
      <c r="N2" s="5" t="s">
        <v>7</v>
      </c>
      <c r="O2" s="5" t="s">
        <v>8</v>
      </c>
      <c r="P2" s="6" t="s">
        <v>7</v>
      </c>
      <c r="Q2" s="6" t="s">
        <v>8</v>
      </c>
    </row>
    <row r="3" spans="1:20" x14ac:dyDescent="0.25">
      <c r="A3" s="9">
        <v>1</v>
      </c>
      <c r="B3" s="21">
        <v>21</v>
      </c>
      <c r="C3" s="17" t="s">
        <v>56</v>
      </c>
      <c r="D3" s="10">
        <f t="shared" ref="D3:D38" si="0">F3+H3+J3+L3+N3+P3</f>
        <v>25.5</v>
      </c>
      <c r="E3" s="10">
        <f t="shared" ref="E3:E38" si="1">G3+I3+K3+M3+O3+Q3</f>
        <v>3723</v>
      </c>
      <c r="F3" s="15">
        <v>3.5</v>
      </c>
      <c r="G3" s="15">
        <f>203+220+181</f>
        <v>604</v>
      </c>
      <c r="H3" s="16">
        <v>5</v>
      </c>
      <c r="I3" s="16">
        <f>214+171+244</f>
        <v>629</v>
      </c>
      <c r="J3" s="15">
        <v>4</v>
      </c>
      <c r="K3" s="15">
        <f>236+228+196</f>
        <v>660</v>
      </c>
      <c r="L3" s="16">
        <v>4</v>
      </c>
      <c r="M3" s="16">
        <f>167+166+222</f>
        <v>555</v>
      </c>
      <c r="N3" s="15">
        <v>5</v>
      </c>
      <c r="O3" s="15">
        <f>211+223+256</f>
        <v>690</v>
      </c>
      <c r="P3" s="16">
        <v>4</v>
      </c>
      <c r="Q3" s="16">
        <f>202+158+225</f>
        <v>585</v>
      </c>
      <c r="S3" s="27">
        <v>786</v>
      </c>
      <c r="T3" s="26">
        <f t="shared" ref="T3" si="2">S3/3</f>
        <v>262</v>
      </c>
    </row>
    <row r="4" spans="1:20" x14ac:dyDescent="0.25">
      <c r="A4" s="9">
        <v>2</v>
      </c>
      <c r="B4" s="21">
        <v>22</v>
      </c>
      <c r="C4" s="11" t="s">
        <v>44</v>
      </c>
      <c r="D4" s="10">
        <f t="shared" si="0"/>
        <v>22</v>
      </c>
      <c r="E4" s="10">
        <f t="shared" si="1"/>
        <v>3366</v>
      </c>
      <c r="F4" s="11">
        <v>5</v>
      </c>
      <c r="G4" s="12">
        <f>191+201+206</f>
        <v>598</v>
      </c>
      <c r="H4" s="13">
        <v>4</v>
      </c>
      <c r="I4" s="13">
        <f>145+209+234</f>
        <v>588</v>
      </c>
      <c r="J4" s="11">
        <v>5</v>
      </c>
      <c r="K4" s="11">
        <f>173+173+228</f>
        <v>574</v>
      </c>
      <c r="L4" s="13">
        <v>0</v>
      </c>
      <c r="M4" s="13">
        <f>153+165+169</f>
        <v>487</v>
      </c>
      <c r="N4" s="11">
        <v>4</v>
      </c>
      <c r="O4" s="11">
        <f>177+172+222</f>
        <v>571</v>
      </c>
      <c r="P4" s="13">
        <v>4</v>
      </c>
      <c r="Q4" s="13">
        <f>169+187+192</f>
        <v>548</v>
      </c>
      <c r="S4" s="27">
        <v>1797</v>
      </c>
      <c r="T4" s="26"/>
    </row>
    <row r="5" spans="1:20" x14ac:dyDescent="0.25">
      <c r="A5" s="9">
        <v>3</v>
      </c>
      <c r="B5" s="21">
        <v>23</v>
      </c>
      <c r="C5" s="11" t="s">
        <v>48</v>
      </c>
      <c r="D5" s="10">
        <f t="shared" si="0"/>
        <v>21</v>
      </c>
      <c r="E5" s="10">
        <f t="shared" si="1"/>
        <v>3142</v>
      </c>
      <c r="F5" s="15">
        <v>5</v>
      </c>
      <c r="G5" s="15">
        <f>206+183+169</f>
        <v>558</v>
      </c>
      <c r="H5" s="16">
        <v>1</v>
      </c>
      <c r="I5" s="16">
        <f>157+144+212</f>
        <v>513</v>
      </c>
      <c r="J5" s="15">
        <v>5</v>
      </c>
      <c r="K5" s="15">
        <f>176+179+173</f>
        <v>528</v>
      </c>
      <c r="L5" s="16">
        <v>1</v>
      </c>
      <c r="M5" s="16">
        <f>184+114+163</f>
        <v>461</v>
      </c>
      <c r="N5" s="15">
        <v>4</v>
      </c>
      <c r="O5" s="15">
        <f>180+160+193</f>
        <v>533</v>
      </c>
      <c r="P5" s="16">
        <v>5</v>
      </c>
      <c r="Q5" s="16">
        <f>176+187+186</f>
        <v>549</v>
      </c>
      <c r="S5" s="27">
        <v>786</v>
      </c>
      <c r="T5" s="26">
        <f t="shared" ref="T4:T9" si="3">S5/3</f>
        <v>262</v>
      </c>
    </row>
    <row r="6" spans="1:20" x14ac:dyDescent="0.25">
      <c r="A6" s="9">
        <v>4</v>
      </c>
      <c r="B6" s="21">
        <v>24</v>
      </c>
      <c r="C6" s="11" t="s">
        <v>76</v>
      </c>
      <c r="D6" s="10">
        <f t="shared" si="0"/>
        <v>20</v>
      </c>
      <c r="E6" s="10">
        <f t="shared" si="1"/>
        <v>3416</v>
      </c>
      <c r="F6" s="11">
        <v>3</v>
      </c>
      <c r="G6" s="12">
        <f>186+234+183</f>
        <v>603</v>
      </c>
      <c r="H6" s="13">
        <v>3</v>
      </c>
      <c r="I6" s="13">
        <f>179+225+169</f>
        <v>573</v>
      </c>
      <c r="J6" s="14">
        <v>5</v>
      </c>
      <c r="K6" s="14">
        <f>175+214+215</f>
        <v>604</v>
      </c>
      <c r="L6" s="13">
        <v>1</v>
      </c>
      <c r="M6" s="13">
        <f>155+209+147</f>
        <v>511</v>
      </c>
      <c r="N6" s="12">
        <v>4</v>
      </c>
      <c r="O6" s="12">
        <f>200+223+161</f>
        <v>584</v>
      </c>
      <c r="P6" s="13">
        <v>4</v>
      </c>
      <c r="Q6" s="13">
        <f>204+163+174</f>
        <v>541</v>
      </c>
      <c r="S6" s="27">
        <v>1200</v>
      </c>
      <c r="T6" s="26"/>
    </row>
    <row r="7" spans="1:20" x14ac:dyDescent="0.25">
      <c r="A7" s="9">
        <v>5</v>
      </c>
      <c r="B7" s="21">
        <v>25</v>
      </c>
      <c r="C7" s="19" t="s">
        <v>63</v>
      </c>
      <c r="D7" s="10">
        <f t="shared" si="0"/>
        <v>19</v>
      </c>
      <c r="E7" s="10">
        <f t="shared" si="1"/>
        <v>3603</v>
      </c>
      <c r="F7" s="11">
        <v>4</v>
      </c>
      <c r="G7" s="12">
        <f>183+224+151</f>
        <v>558</v>
      </c>
      <c r="H7" s="13">
        <v>4</v>
      </c>
      <c r="I7" s="13">
        <f>185+227+227</f>
        <v>639</v>
      </c>
      <c r="J7" s="11">
        <v>1</v>
      </c>
      <c r="K7" s="11">
        <f>210+189+202</f>
        <v>601</v>
      </c>
      <c r="L7" s="13">
        <v>4</v>
      </c>
      <c r="M7" s="13">
        <f>186+205+238</f>
        <v>629</v>
      </c>
      <c r="N7" s="11">
        <v>1</v>
      </c>
      <c r="O7" s="11">
        <f>201+212+173</f>
        <v>586</v>
      </c>
      <c r="P7" s="13">
        <v>5</v>
      </c>
      <c r="Q7" s="13">
        <f>186+204+200</f>
        <v>590</v>
      </c>
      <c r="S7" s="27">
        <v>570</v>
      </c>
      <c r="T7" s="26">
        <f t="shared" si="3"/>
        <v>190</v>
      </c>
    </row>
    <row r="8" spans="1:20" x14ac:dyDescent="0.25">
      <c r="A8" s="9">
        <v>6</v>
      </c>
      <c r="B8" s="21">
        <v>26</v>
      </c>
      <c r="C8" s="11" t="s">
        <v>49</v>
      </c>
      <c r="D8" s="10">
        <f t="shared" si="0"/>
        <v>19</v>
      </c>
      <c r="E8" s="10">
        <f t="shared" si="1"/>
        <v>3441</v>
      </c>
      <c r="F8" s="15">
        <v>5</v>
      </c>
      <c r="G8" s="15">
        <f>180+223+205</f>
        <v>608</v>
      </c>
      <c r="H8" s="16">
        <v>3</v>
      </c>
      <c r="I8" s="16">
        <f>249+156+170</f>
        <v>575</v>
      </c>
      <c r="J8" s="15">
        <v>5</v>
      </c>
      <c r="K8" s="15">
        <f>173+199+221</f>
        <v>593</v>
      </c>
      <c r="L8" s="16">
        <v>5</v>
      </c>
      <c r="M8" s="16">
        <f>194+169+191</f>
        <v>554</v>
      </c>
      <c r="N8" s="15">
        <v>0</v>
      </c>
      <c r="O8" s="15">
        <f>177+176+203</f>
        <v>556</v>
      </c>
      <c r="P8" s="16">
        <v>1</v>
      </c>
      <c r="Q8" s="16">
        <f>186+197+172</f>
        <v>555</v>
      </c>
      <c r="S8" s="27">
        <v>510</v>
      </c>
      <c r="T8" s="26">
        <f t="shared" si="3"/>
        <v>170</v>
      </c>
    </row>
    <row r="9" spans="1:20" x14ac:dyDescent="0.25">
      <c r="A9" s="9">
        <v>7</v>
      </c>
      <c r="B9" s="21">
        <v>27</v>
      </c>
      <c r="C9" s="18" t="s">
        <v>53</v>
      </c>
      <c r="D9" s="10">
        <f t="shared" si="0"/>
        <v>18.5</v>
      </c>
      <c r="E9" s="10">
        <f t="shared" si="1"/>
        <v>3236</v>
      </c>
      <c r="F9" s="11">
        <v>3.5</v>
      </c>
      <c r="G9" s="12">
        <f>189+141+142</f>
        <v>472</v>
      </c>
      <c r="H9" s="13">
        <v>2</v>
      </c>
      <c r="I9" s="13">
        <f>203+187+171</f>
        <v>561</v>
      </c>
      <c r="J9" s="11">
        <v>0</v>
      </c>
      <c r="K9" s="11">
        <f>176+181+191</f>
        <v>548</v>
      </c>
      <c r="L9" s="13">
        <v>4</v>
      </c>
      <c r="M9" s="13">
        <f>191+206+157</f>
        <v>554</v>
      </c>
      <c r="N9" s="11">
        <v>5</v>
      </c>
      <c r="O9" s="11">
        <f>191+145+237</f>
        <v>573</v>
      </c>
      <c r="P9" s="13">
        <v>4</v>
      </c>
      <c r="Q9" s="13">
        <f>158+187+183</f>
        <v>528</v>
      </c>
      <c r="S9" s="27">
        <v>480</v>
      </c>
      <c r="T9" s="26">
        <f t="shared" si="3"/>
        <v>160</v>
      </c>
    </row>
    <row r="10" spans="1:20" x14ac:dyDescent="0.25">
      <c r="A10" s="9">
        <v>8</v>
      </c>
      <c r="B10" s="21">
        <v>28</v>
      </c>
      <c r="C10" s="15" t="s">
        <v>75</v>
      </c>
      <c r="D10" s="10">
        <f t="shared" si="0"/>
        <v>18</v>
      </c>
      <c r="E10" s="10">
        <f t="shared" si="1"/>
        <v>3392</v>
      </c>
      <c r="F10" s="15">
        <v>4</v>
      </c>
      <c r="G10" s="15">
        <f>128+172+243</f>
        <v>543</v>
      </c>
      <c r="H10" s="16">
        <v>1</v>
      </c>
      <c r="I10" s="16">
        <f>230+125+129</f>
        <v>484</v>
      </c>
      <c r="J10" s="15">
        <v>4</v>
      </c>
      <c r="K10" s="15">
        <f>189+257+189</f>
        <v>635</v>
      </c>
      <c r="L10" s="16">
        <v>4</v>
      </c>
      <c r="M10" s="16">
        <f>168+159+244</f>
        <v>571</v>
      </c>
      <c r="N10" s="15">
        <v>4</v>
      </c>
      <c r="O10" s="15">
        <f>236+202+180</f>
        <v>618</v>
      </c>
      <c r="P10" s="16">
        <v>1</v>
      </c>
      <c r="Q10" s="16">
        <f>149+179+213</f>
        <v>541</v>
      </c>
    </row>
    <row r="11" spans="1:20" x14ac:dyDescent="0.25">
      <c r="A11" s="9">
        <v>9</v>
      </c>
      <c r="B11" s="21">
        <v>29</v>
      </c>
      <c r="C11" s="15" t="s">
        <v>60</v>
      </c>
      <c r="D11" s="10">
        <f t="shared" si="0"/>
        <v>17.5</v>
      </c>
      <c r="E11" s="10">
        <f t="shared" si="1"/>
        <v>3068</v>
      </c>
      <c r="F11" s="11">
        <v>0</v>
      </c>
      <c r="G11" s="12">
        <f>168+190+153</f>
        <v>511</v>
      </c>
      <c r="H11" s="13">
        <v>5</v>
      </c>
      <c r="I11" s="13">
        <f>177+150+156</f>
        <v>483</v>
      </c>
      <c r="J11" s="11">
        <v>4</v>
      </c>
      <c r="K11" s="11">
        <f>204+173+181</f>
        <v>558</v>
      </c>
      <c r="L11" s="13">
        <v>3</v>
      </c>
      <c r="M11" s="13">
        <f>184+172+189</f>
        <v>545</v>
      </c>
      <c r="N11" s="11">
        <v>1</v>
      </c>
      <c r="O11" s="11">
        <f>150+161+149</f>
        <v>460</v>
      </c>
      <c r="P11" s="13">
        <v>4.5</v>
      </c>
      <c r="Q11" s="13">
        <f>222+137+152</f>
        <v>511</v>
      </c>
    </row>
    <row r="12" spans="1:20" x14ac:dyDescent="0.25">
      <c r="A12" s="9">
        <v>10</v>
      </c>
      <c r="B12" s="21">
        <v>30</v>
      </c>
      <c r="C12" s="11" t="s">
        <v>67</v>
      </c>
      <c r="D12" s="10">
        <f t="shared" si="0"/>
        <v>17</v>
      </c>
      <c r="E12" s="10">
        <f t="shared" si="1"/>
        <v>3361</v>
      </c>
      <c r="F12" s="11">
        <v>5</v>
      </c>
      <c r="G12" s="12">
        <f>231+190+198</f>
        <v>619</v>
      </c>
      <c r="H12" s="13">
        <v>2</v>
      </c>
      <c r="I12" s="13">
        <f>170+183+196</f>
        <v>549</v>
      </c>
      <c r="J12" s="11">
        <v>4</v>
      </c>
      <c r="K12" s="11">
        <f>184+167+236</f>
        <v>587</v>
      </c>
      <c r="L12" s="13">
        <v>4</v>
      </c>
      <c r="M12" s="13">
        <f>148+207+190</f>
        <v>545</v>
      </c>
      <c r="N12" s="11">
        <v>1</v>
      </c>
      <c r="O12" s="11">
        <f>169+194+203</f>
        <v>566</v>
      </c>
      <c r="P12" s="13">
        <v>1</v>
      </c>
      <c r="Q12" s="13">
        <f>157+177+161</f>
        <v>495</v>
      </c>
    </row>
    <row r="13" spans="1:20" x14ac:dyDescent="0.25">
      <c r="A13" s="9">
        <v>11</v>
      </c>
      <c r="B13" s="21">
        <v>31</v>
      </c>
      <c r="C13" s="18" t="s">
        <v>54</v>
      </c>
      <c r="D13" s="10">
        <f t="shared" si="0"/>
        <v>17</v>
      </c>
      <c r="E13" s="10">
        <f t="shared" si="1"/>
        <v>3155</v>
      </c>
      <c r="F13" s="11">
        <v>4</v>
      </c>
      <c r="G13" s="12">
        <f>149+164+189</f>
        <v>502</v>
      </c>
      <c r="H13" s="13">
        <v>3</v>
      </c>
      <c r="I13" s="13">
        <f>166+166+185</f>
        <v>517</v>
      </c>
      <c r="J13" s="14">
        <v>1</v>
      </c>
      <c r="K13" s="14">
        <f>171+186+168</f>
        <v>525</v>
      </c>
      <c r="L13" s="13">
        <v>4</v>
      </c>
      <c r="M13" s="13">
        <f>202+173+210</f>
        <v>585</v>
      </c>
      <c r="N13" s="12">
        <v>1</v>
      </c>
      <c r="O13" s="12">
        <f>164+170+167</f>
        <v>501</v>
      </c>
      <c r="P13" s="13">
        <v>4</v>
      </c>
      <c r="Q13" s="13">
        <f>166+174+185</f>
        <v>525</v>
      </c>
    </row>
    <row r="14" spans="1:20" x14ac:dyDescent="0.25">
      <c r="A14" s="9">
        <v>12</v>
      </c>
      <c r="B14" s="21">
        <v>32</v>
      </c>
      <c r="C14" s="19" t="s">
        <v>64</v>
      </c>
      <c r="D14" s="10">
        <f t="shared" si="0"/>
        <v>17</v>
      </c>
      <c r="E14" s="10">
        <f t="shared" si="1"/>
        <v>3124</v>
      </c>
      <c r="F14" s="11">
        <v>0</v>
      </c>
      <c r="G14" s="12">
        <f>186+140+155</f>
        <v>481</v>
      </c>
      <c r="H14" s="13">
        <v>2</v>
      </c>
      <c r="I14" s="13">
        <f>183+123+158</f>
        <v>464</v>
      </c>
      <c r="J14" s="11">
        <v>4</v>
      </c>
      <c r="K14" s="11">
        <f>188+186+192</f>
        <v>566</v>
      </c>
      <c r="L14" s="13">
        <v>3</v>
      </c>
      <c r="M14" s="13">
        <f>154+188+186</f>
        <v>528</v>
      </c>
      <c r="N14" s="11">
        <v>4</v>
      </c>
      <c r="O14" s="11">
        <f>188+211+167</f>
        <v>566</v>
      </c>
      <c r="P14" s="13">
        <v>4</v>
      </c>
      <c r="Q14" s="13">
        <f>144+156+219</f>
        <v>519</v>
      </c>
    </row>
    <row r="15" spans="1:20" x14ac:dyDescent="0.25">
      <c r="A15" s="9">
        <v>13</v>
      </c>
      <c r="B15" s="21">
        <v>33</v>
      </c>
      <c r="C15" s="11" t="s">
        <v>73</v>
      </c>
      <c r="D15" s="10">
        <f t="shared" si="0"/>
        <v>16</v>
      </c>
      <c r="E15" s="10">
        <f t="shared" si="1"/>
        <v>3220</v>
      </c>
      <c r="F15" s="11">
        <v>2</v>
      </c>
      <c r="G15" s="12">
        <f>218+164+215</f>
        <v>597</v>
      </c>
      <c r="H15" s="13">
        <v>2</v>
      </c>
      <c r="I15" s="13">
        <f>150+153+144</f>
        <v>447</v>
      </c>
      <c r="J15" s="14">
        <v>4</v>
      </c>
      <c r="K15" s="14">
        <f>183+202+204</f>
        <v>589</v>
      </c>
      <c r="L15" s="13">
        <v>3</v>
      </c>
      <c r="M15" s="13">
        <f>183+128+240</f>
        <v>551</v>
      </c>
      <c r="N15" s="12">
        <v>5</v>
      </c>
      <c r="O15" s="12">
        <f>182+185+190</f>
        <v>557</v>
      </c>
      <c r="P15" s="13">
        <v>0</v>
      </c>
      <c r="Q15" s="13">
        <f>138+184+157</f>
        <v>479</v>
      </c>
    </row>
    <row r="16" spans="1:20" x14ac:dyDescent="0.25">
      <c r="A16" s="9">
        <v>14</v>
      </c>
      <c r="B16" s="21">
        <v>34</v>
      </c>
      <c r="C16" s="19" t="s">
        <v>69</v>
      </c>
      <c r="D16" s="10">
        <f t="shared" si="0"/>
        <v>16</v>
      </c>
      <c r="E16" s="10">
        <f t="shared" si="1"/>
        <v>3175</v>
      </c>
      <c r="F16" s="11">
        <v>1</v>
      </c>
      <c r="G16" s="12">
        <f>174+140+144</f>
        <v>458</v>
      </c>
      <c r="H16" s="13">
        <v>4</v>
      </c>
      <c r="I16" s="13">
        <f>141+215+177</f>
        <v>533</v>
      </c>
      <c r="J16" s="14">
        <v>4</v>
      </c>
      <c r="K16" s="14">
        <f>217+177+178</f>
        <v>572</v>
      </c>
      <c r="L16" s="13">
        <v>1</v>
      </c>
      <c r="M16" s="13">
        <f>150+202+177</f>
        <v>529</v>
      </c>
      <c r="N16" s="12">
        <v>5</v>
      </c>
      <c r="O16" s="12">
        <f>208+184+197</f>
        <v>589</v>
      </c>
      <c r="P16" s="13">
        <v>1</v>
      </c>
      <c r="Q16" s="13">
        <f>163+152+179</f>
        <v>494</v>
      </c>
    </row>
    <row r="17" spans="1:17" x14ac:dyDescent="0.25">
      <c r="A17" s="9">
        <v>15</v>
      </c>
      <c r="B17" s="21">
        <v>35</v>
      </c>
      <c r="C17" s="18" t="s">
        <v>52</v>
      </c>
      <c r="D17" s="10">
        <f t="shared" si="0"/>
        <v>16</v>
      </c>
      <c r="E17" s="10">
        <f t="shared" si="1"/>
        <v>2956</v>
      </c>
      <c r="F17" s="11">
        <v>1</v>
      </c>
      <c r="G17" s="12">
        <f>145+124+170</f>
        <v>439</v>
      </c>
      <c r="H17" s="13">
        <v>5</v>
      </c>
      <c r="I17" s="13">
        <f>178+131+151</f>
        <v>460</v>
      </c>
      <c r="J17" s="11">
        <v>3</v>
      </c>
      <c r="K17" s="11">
        <f>201+109+161</f>
        <v>471</v>
      </c>
      <c r="L17" s="13">
        <v>2</v>
      </c>
      <c r="M17" s="13">
        <f>229+179+136</f>
        <v>544</v>
      </c>
      <c r="N17" s="11">
        <v>0</v>
      </c>
      <c r="O17" s="11">
        <f>156+160+166</f>
        <v>482</v>
      </c>
      <c r="P17" s="13">
        <v>5</v>
      </c>
      <c r="Q17" s="13">
        <f>220+161+179</f>
        <v>560</v>
      </c>
    </row>
    <row r="18" spans="1:17" x14ac:dyDescent="0.25">
      <c r="A18" s="9">
        <v>16</v>
      </c>
      <c r="B18" s="21">
        <v>36</v>
      </c>
      <c r="C18" s="19" t="s">
        <v>70</v>
      </c>
      <c r="D18" s="10">
        <f t="shared" si="0"/>
        <v>16</v>
      </c>
      <c r="E18" s="10">
        <f t="shared" si="1"/>
        <v>2944</v>
      </c>
      <c r="F18" s="15">
        <v>0</v>
      </c>
      <c r="G18" s="15">
        <f>121+140+182</f>
        <v>443</v>
      </c>
      <c r="H18" s="16">
        <v>1</v>
      </c>
      <c r="I18" s="16">
        <f>153+143+159</f>
        <v>455</v>
      </c>
      <c r="J18" s="15">
        <v>2</v>
      </c>
      <c r="K18" s="15">
        <f>175+149+170</f>
        <v>494</v>
      </c>
      <c r="L18" s="16">
        <v>4</v>
      </c>
      <c r="M18" s="16">
        <f>150+155+150</f>
        <v>455</v>
      </c>
      <c r="N18" s="15">
        <v>4</v>
      </c>
      <c r="O18" s="15">
        <f>155+236+162</f>
        <v>553</v>
      </c>
      <c r="P18" s="16">
        <v>5</v>
      </c>
      <c r="Q18" s="16">
        <f>157+226+161</f>
        <v>544</v>
      </c>
    </row>
    <row r="19" spans="1:17" x14ac:dyDescent="0.25">
      <c r="A19" s="9">
        <v>17</v>
      </c>
      <c r="B19" s="21">
        <v>37</v>
      </c>
      <c r="C19" s="17" t="s">
        <v>43</v>
      </c>
      <c r="D19" s="10">
        <f t="shared" si="0"/>
        <v>16</v>
      </c>
      <c r="E19" s="10">
        <f t="shared" si="1"/>
        <v>2937</v>
      </c>
      <c r="F19" s="11">
        <v>4</v>
      </c>
      <c r="G19" s="12">
        <f>163+154+154</f>
        <v>471</v>
      </c>
      <c r="H19" s="13">
        <v>2</v>
      </c>
      <c r="I19" s="13">
        <f>167+167+150</f>
        <v>484</v>
      </c>
      <c r="J19" s="14">
        <v>0</v>
      </c>
      <c r="K19" s="14">
        <f>160+154+152</f>
        <v>466</v>
      </c>
      <c r="L19" s="13">
        <v>1</v>
      </c>
      <c r="M19" s="13">
        <f>115+181+162</f>
        <v>458</v>
      </c>
      <c r="N19" s="12">
        <v>5</v>
      </c>
      <c r="O19" s="12">
        <f>157+169+177</f>
        <v>503</v>
      </c>
      <c r="P19" s="13">
        <v>4</v>
      </c>
      <c r="Q19" s="13">
        <f>184+198+173</f>
        <v>555</v>
      </c>
    </row>
    <row r="20" spans="1:17" x14ac:dyDescent="0.25">
      <c r="A20" s="9">
        <v>18</v>
      </c>
      <c r="B20" s="21">
        <v>38</v>
      </c>
      <c r="C20" s="20" t="s">
        <v>50</v>
      </c>
      <c r="D20" s="10">
        <f t="shared" si="0"/>
        <v>15</v>
      </c>
      <c r="E20" s="10">
        <f t="shared" si="1"/>
        <v>2977</v>
      </c>
      <c r="F20" s="11">
        <v>0</v>
      </c>
      <c r="G20" s="12">
        <f>188+164+151</f>
        <v>503</v>
      </c>
      <c r="H20" s="13">
        <v>3</v>
      </c>
      <c r="I20" s="13">
        <f>161+160+154</f>
        <v>475</v>
      </c>
      <c r="J20" s="11">
        <v>1</v>
      </c>
      <c r="K20" s="11">
        <f>145+152+180</f>
        <v>477</v>
      </c>
      <c r="L20" s="13">
        <v>1</v>
      </c>
      <c r="M20" s="13">
        <f>169+154+179</f>
        <v>502</v>
      </c>
      <c r="N20" s="11">
        <v>5</v>
      </c>
      <c r="O20" s="11">
        <f>150+155+191</f>
        <v>496</v>
      </c>
      <c r="P20" s="13">
        <v>5</v>
      </c>
      <c r="Q20" s="13">
        <f>169+161+194</f>
        <v>524</v>
      </c>
    </row>
    <row r="21" spans="1:17" x14ac:dyDescent="0.25">
      <c r="A21" s="9">
        <v>19</v>
      </c>
      <c r="B21" s="21">
        <v>39</v>
      </c>
      <c r="C21" s="11" t="s">
        <v>71</v>
      </c>
      <c r="D21" s="10">
        <f t="shared" si="0"/>
        <v>15</v>
      </c>
      <c r="E21" s="10">
        <f t="shared" si="1"/>
        <v>2822</v>
      </c>
      <c r="F21" s="11">
        <v>3</v>
      </c>
      <c r="G21" s="12">
        <f>173+121+130</f>
        <v>424</v>
      </c>
      <c r="H21" s="13">
        <v>3</v>
      </c>
      <c r="I21" s="13">
        <f>139+146+184</f>
        <v>469</v>
      </c>
      <c r="J21" s="14">
        <v>2</v>
      </c>
      <c r="K21" s="14">
        <f>157+120+165</f>
        <v>442</v>
      </c>
      <c r="L21" s="13">
        <v>4</v>
      </c>
      <c r="M21" s="13">
        <f>128+182+231</f>
        <v>541</v>
      </c>
      <c r="N21" s="12">
        <v>2</v>
      </c>
      <c r="O21" s="12">
        <f>159+145+165</f>
        <v>469</v>
      </c>
      <c r="P21" s="13">
        <v>1</v>
      </c>
      <c r="Q21" s="13">
        <f>122+165+190</f>
        <v>477</v>
      </c>
    </row>
    <row r="22" spans="1:17" x14ac:dyDescent="0.25">
      <c r="A22" s="9">
        <v>20</v>
      </c>
      <c r="B22" s="21">
        <v>40</v>
      </c>
      <c r="C22" s="19" t="s">
        <v>58</v>
      </c>
      <c r="D22" s="10">
        <f t="shared" si="0"/>
        <v>14</v>
      </c>
      <c r="E22" s="10">
        <f t="shared" si="1"/>
        <v>3405</v>
      </c>
      <c r="F22" s="15">
        <v>4</v>
      </c>
      <c r="G22" s="15">
        <f>264+149+184</f>
        <v>597</v>
      </c>
      <c r="H22" s="16">
        <v>1</v>
      </c>
      <c r="I22" s="16">
        <f>190+184+216</f>
        <v>590</v>
      </c>
      <c r="J22" s="15">
        <v>5</v>
      </c>
      <c r="K22" s="15">
        <f>214+219+211</f>
        <v>644</v>
      </c>
      <c r="L22" s="16">
        <v>1</v>
      </c>
      <c r="M22" s="16">
        <f>172+222+169</f>
        <v>563</v>
      </c>
      <c r="N22" s="15">
        <v>3</v>
      </c>
      <c r="O22" s="15">
        <f>148+178+154</f>
        <v>480</v>
      </c>
      <c r="P22" s="16">
        <v>0</v>
      </c>
      <c r="Q22" s="16">
        <f>150+187+194</f>
        <v>531</v>
      </c>
    </row>
    <row r="23" spans="1:17" x14ac:dyDescent="0.25">
      <c r="A23" s="9">
        <v>21</v>
      </c>
      <c r="B23" s="21">
        <v>41</v>
      </c>
      <c r="C23" s="19" t="s">
        <v>61</v>
      </c>
      <c r="D23" s="10">
        <f t="shared" si="0"/>
        <v>14</v>
      </c>
      <c r="E23" s="10">
        <f t="shared" si="1"/>
        <v>3055</v>
      </c>
      <c r="F23" s="11">
        <v>0</v>
      </c>
      <c r="G23" s="12">
        <f>102+159+156</f>
        <v>417</v>
      </c>
      <c r="H23" s="13">
        <v>4</v>
      </c>
      <c r="I23" s="13">
        <f>147+184+215</f>
        <v>546</v>
      </c>
      <c r="J23" s="14">
        <v>1</v>
      </c>
      <c r="K23" s="14">
        <f>246+126+187</f>
        <v>559</v>
      </c>
      <c r="L23" s="13">
        <v>5</v>
      </c>
      <c r="M23" s="13">
        <f>146+169+198</f>
        <v>513</v>
      </c>
      <c r="N23" s="12">
        <v>3</v>
      </c>
      <c r="O23" s="12">
        <f>177+177+212</f>
        <v>566</v>
      </c>
      <c r="P23" s="13">
        <v>1</v>
      </c>
      <c r="Q23" s="13">
        <f>139+161+154</f>
        <v>454</v>
      </c>
    </row>
    <row r="24" spans="1:17" x14ac:dyDescent="0.25">
      <c r="A24" s="9">
        <v>22</v>
      </c>
      <c r="B24" s="21">
        <v>42</v>
      </c>
      <c r="C24" s="11" t="s">
        <v>47</v>
      </c>
      <c r="D24" s="10">
        <f t="shared" si="0"/>
        <v>13.5</v>
      </c>
      <c r="E24" s="10">
        <f t="shared" si="1"/>
        <v>2866</v>
      </c>
      <c r="F24" s="15">
        <v>2</v>
      </c>
      <c r="G24" s="15">
        <f>133+136+139</f>
        <v>408</v>
      </c>
      <c r="H24" s="16">
        <v>2</v>
      </c>
      <c r="I24" s="16">
        <f>177+150+178</f>
        <v>505</v>
      </c>
      <c r="J24" s="15">
        <v>4</v>
      </c>
      <c r="K24" s="15">
        <f>144+170+153</f>
        <v>467</v>
      </c>
      <c r="L24" s="16">
        <v>1</v>
      </c>
      <c r="M24" s="16">
        <f>168+139+156</f>
        <v>463</v>
      </c>
      <c r="N24" s="15">
        <v>4</v>
      </c>
      <c r="O24" s="15">
        <f>241+192+170</f>
        <v>603</v>
      </c>
      <c r="P24" s="16">
        <v>0.5</v>
      </c>
      <c r="Q24" s="16">
        <f>142+126+152</f>
        <v>420</v>
      </c>
    </row>
    <row r="25" spans="1:17" x14ac:dyDescent="0.25">
      <c r="A25" s="9">
        <v>23</v>
      </c>
      <c r="B25" s="21">
        <v>43</v>
      </c>
      <c r="C25" s="18" t="s">
        <v>55</v>
      </c>
      <c r="D25" s="10">
        <f t="shared" si="0"/>
        <v>13</v>
      </c>
      <c r="E25" s="10">
        <f t="shared" si="1"/>
        <v>2990</v>
      </c>
      <c r="F25" s="11">
        <v>4</v>
      </c>
      <c r="G25" s="12">
        <f>149+192+168</f>
        <v>509</v>
      </c>
      <c r="H25" s="13">
        <v>1</v>
      </c>
      <c r="I25" s="13">
        <f>132+192+175</f>
        <v>499</v>
      </c>
      <c r="J25" s="11">
        <v>1</v>
      </c>
      <c r="K25" s="11">
        <f>151+180+159</f>
        <v>490</v>
      </c>
      <c r="L25" s="13">
        <v>4</v>
      </c>
      <c r="M25" s="13">
        <f>145+145+204</f>
        <v>494</v>
      </c>
      <c r="N25" s="11">
        <v>2</v>
      </c>
      <c r="O25" s="11">
        <f>156+193+214</f>
        <v>563</v>
      </c>
      <c r="P25" s="13">
        <v>1</v>
      </c>
      <c r="Q25" s="13">
        <f>120+135+180</f>
        <v>435</v>
      </c>
    </row>
    <row r="26" spans="1:17" x14ac:dyDescent="0.25">
      <c r="A26" s="9">
        <v>24</v>
      </c>
      <c r="B26" s="21">
        <v>44</v>
      </c>
      <c r="C26" s="11" t="s">
        <v>12</v>
      </c>
      <c r="D26" s="10">
        <f t="shared" si="0"/>
        <v>12</v>
      </c>
      <c r="E26" s="10">
        <f t="shared" si="1"/>
        <v>3105</v>
      </c>
      <c r="F26" s="15">
        <v>1</v>
      </c>
      <c r="G26" s="15">
        <f>189+153+177</f>
        <v>519</v>
      </c>
      <c r="H26" s="16">
        <v>4</v>
      </c>
      <c r="I26" s="16">
        <f>152+181+188</f>
        <v>521</v>
      </c>
      <c r="J26" s="15">
        <v>1</v>
      </c>
      <c r="K26" s="15">
        <f>197+161+170</f>
        <v>528</v>
      </c>
      <c r="L26" s="16">
        <v>3</v>
      </c>
      <c r="M26" s="16">
        <f>140+227+163</f>
        <v>530</v>
      </c>
      <c r="N26" s="15">
        <v>0</v>
      </c>
      <c r="O26" s="15">
        <f>164+135+180</f>
        <v>479</v>
      </c>
      <c r="P26" s="16">
        <v>3</v>
      </c>
      <c r="Q26" s="16">
        <f>206+167+155</f>
        <v>528</v>
      </c>
    </row>
    <row r="27" spans="1:17" x14ac:dyDescent="0.25">
      <c r="A27" s="9">
        <v>25</v>
      </c>
      <c r="B27" s="21">
        <v>45</v>
      </c>
      <c r="C27" s="11" t="s">
        <v>45</v>
      </c>
      <c r="D27" s="10">
        <f t="shared" si="0"/>
        <v>12</v>
      </c>
      <c r="E27" s="10">
        <f t="shared" si="1"/>
        <v>2625</v>
      </c>
      <c r="F27" s="11">
        <v>1</v>
      </c>
      <c r="G27" s="12">
        <f>174+125+96</f>
        <v>395</v>
      </c>
      <c r="H27" s="13">
        <v>0</v>
      </c>
      <c r="I27" s="13">
        <f>141+99+149</f>
        <v>389</v>
      </c>
      <c r="J27" s="11">
        <v>4</v>
      </c>
      <c r="K27" s="11">
        <f>134+181+182</f>
        <v>497</v>
      </c>
      <c r="L27" s="13">
        <v>2</v>
      </c>
      <c r="M27" s="13">
        <f>130+189+162</f>
        <v>481</v>
      </c>
      <c r="N27" s="11">
        <v>1</v>
      </c>
      <c r="O27" s="11">
        <f>125+142+167</f>
        <v>434</v>
      </c>
      <c r="P27" s="13">
        <v>4</v>
      </c>
      <c r="Q27" s="13">
        <f>119+136+174</f>
        <v>429</v>
      </c>
    </row>
    <row r="28" spans="1:17" x14ac:dyDescent="0.25">
      <c r="A28" s="9">
        <v>26</v>
      </c>
      <c r="B28" s="21">
        <v>46</v>
      </c>
      <c r="C28" s="11" t="s">
        <v>46</v>
      </c>
      <c r="D28" s="10">
        <f t="shared" si="0"/>
        <v>11.5</v>
      </c>
      <c r="E28" s="10">
        <f t="shared" si="1"/>
        <v>2744</v>
      </c>
      <c r="F28" s="15">
        <v>1.5</v>
      </c>
      <c r="G28" s="15">
        <f>203+187+205</f>
        <v>595</v>
      </c>
      <c r="H28" s="16">
        <v>3</v>
      </c>
      <c r="I28" s="16">
        <f>173+174+163</f>
        <v>510</v>
      </c>
      <c r="J28" s="15">
        <v>1</v>
      </c>
      <c r="K28" s="15">
        <f>216+146+195</f>
        <v>557</v>
      </c>
      <c r="L28" s="16">
        <v>1</v>
      </c>
      <c r="M28" s="16">
        <f>234+164+142</f>
        <v>540</v>
      </c>
      <c r="N28" s="15">
        <v>5</v>
      </c>
      <c r="O28" s="15">
        <f>195+167+180</f>
        <v>542</v>
      </c>
      <c r="P28" s="16">
        <v>0</v>
      </c>
      <c r="Q28" s="16">
        <v>0</v>
      </c>
    </row>
    <row r="29" spans="1:17" x14ac:dyDescent="0.25">
      <c r="A29" s="9">
        <v>27</v>
      </c>
      <c r="B29" s="21">
        <v>9</v>
      </c>
      <c r="C29" s="18" t="s">
        <v>51</v>
      </c>
      <c r="D29" s="10">
        <f t="shared" si="0"/>
        <v>11</v>
      </c>
      <c r="E29" s="10">
        <f t="shared" si="1"/>
        <v>3046</v>
      </c>
      <c r="F29" s="15">
        <v>1</v>
      </c>
      <c r="G29" s="15">
        <f>199+127+212</f>
        <v>538</v>
      </c>
      <c r="H29" s="16">
        <v>0</v>
      </c>
      <c r="I29" s="16">
        <f>174+172+154</f>
        <v>500</v>
      </c>
      <c r="J29" s="15">
        <v>3</v>
      </c>
      <c r="K29" s="15">
        <f>168+179+166</f>
        <v>513</v>
      </c>
      <c r="L29" s="16">
        <v>3</v>
      </c>
      <c r="M29" s="16">
        <f>175+162+159</f>
        <v>496</v>
      </c>
      <c r="N29" s="15">
        <v>2</v>
      </c>
      <c r="O29" s="15">
        <f>158+207+149</f>
        <v>514</v>
      </c>
      <c r="P29" s="16">
        <v>2</v>
      </c>
      <c r="Q29" s="16">
        <f>146+180+159</f>
        <v>485</v>
      </c>
    </row>
    <row r="30" spans="1:17" x14ac:dyDescent="0.25">
      <c r="A30" s="9">
        <v>28</v>
      </c>
      <c r="B30" s="21">
        <v>10</v>
      </c>
      <c r="C30" s="11" t="s">
        <v>66</v>
      </c>
      <c r="D30" s="10">
        <f t="shared" si="0"/>
        <v>11</v>
      </c>
      <c r="E30" s="10">
        <f t="shared" si="1"/>
        <v>2964</v>
      </c>
      <c r="F30" s="11">
        <v>5</v>
      </c>
      <c r="G30" s="12">
        <f>151+153+187</f>
        <v>491</v>
      </c>
      <c r="H30" s="13">
        <v>4</v>
      </c>
      <c r="I30" s="13">
        <f>194+171+235</f>
        <v>600</v>
      </c>
      <c r="J30" s="14">
        <v>0</v>
      </c>
      <c r="K30" s="14">
        <f>154+167+133</f>
        <v>454</v>
      </c>
      <c r="L30" s="13">
        <v>2</v>
      </c>
      <c r="M30" s="13">
        <f>131+197+210</f>
        <v>538</v>
      </c>
      <c r="N30" s="12">
        <v>0</v>
      </c>
      <c r="O30" s="12">
        <f>126+183+131</f>
        <v>440</v>
      </c>
      <c r="P30" s="13">
        <v>0</v>
      </c>
      <c r="Q30" s="13">
        <f>133+175+133</f>
        <v>441</v>
      </c>
    </row>
    <row r="31" spans="1:17" x14ac:dyDescent="0.25">
      <c r="A31" s="9">
        <v>29</v>
      </c>
      <c r="B31" s="21">
        <v>11</v>
      </c>
      <c r="C31" s="18" t="s">
        <v>62</v>
      </c>
      <c r="D31" s="10">
        <f t="shared" si="0"/>
        <v>11</v>
      </c>
      <c r="E31" s="10">
        <f t="shared" si="1"/>
        <v>2595</v>
      </c>
      <c r="F31" s="11">
        <v>1</v>
      </c>
      <c r="G31" s="12">
        <f>234+131+142</f>
        <v>507</v>
      </c>
      <c r="H31" s="13">
        <v>1</v>
      </c>
      <c r="I31" s="13">
        <f>202+157+158</f>
        <v>517</v>
      </c>
      <c r="J31" s="14">
        <v>4</v>
      </c>
      <c r="K31" s="14">
        <f>200+184+143</f>
        <v>527</v>
      </c>
      <c r="L31" s="13">
        <v>2</v>
      </c>
      <c r="M31" s="13">
        <f>180+133+189</f>
        <v>502</v>
      </c>
      <c r="N31" s="12">
        <v>3</v>
      </c>
      <c r="O31" s="12">
        <f>231+176+135</f>
        <v>542</v>
      </c>
      <c r="P31" s="13">
        <v>0</v>
      </c>
      <c r="Q31" s="13">
        <v>0</v>
      </c>
    </row>
    <row r="32" spans="1:17" x14ac:dyDescent="0.25">
      <c r="A32" s="9">
        <v>30</v>
      </c>
      <c r="B32" s="21">
        <v>12</v>
      </c>
      <c r="C32" s="19" t="s">
        <v>72</v>
      </c>
      <c r="D32" s="10">
        <f t="shared" si="0"/>
        <v>10</v>
      </c>
      <c r="E32" s="10">
        <f t="shared" si="1"/>
        <v>2980</v>
      </c>
      <c r="F32" s="15">
        <v>4</v>
      </c>
      <c r="G32" s="15">
        <f>181+172+188</f>
        <v>541</v>
      </c>
      <c r="H32" s="16">
        <v>4</v>
      </c>
      <c r="I32" s="16">
        <f>148+211+161</f>
        <v>520</v>
      </c>
      <c r="J32" s="15">
        <v>0</v>
      </c>
      <c r="K32" s="15">
        <f>151+154+169</f>
        <v>474</v>
      </c>
      <c r="L32" s="16">
        <v>1</v>
      </c>
      <c r="M32" s="16">
        <f>148+179+171</f>
        <v>498</v>
      </c>
      <c r="N32" s="15">
        <v>1</v>
      </c>
      <c r="O32" s="15">
        <f>130+160+208</f>
        <v>498</v>
      </c>
      <c r="P32" s="16">
        <v>0</v>
      </c>
      <c r="Q32" s="16">
        <f>202+113+134</f>
        <v>449</v>
      </c>
    </row>
    <row r="33" spans="1:17" x14ac:dyDescent="0.25">
      <c r="A33" s="9">
        <v>31</v>
      </c>
      <c r="B33" s="21">
        <v>13</v>
      </c>
      <c r="C33" s="18" t="s">
        <v>57</v>
      </c>
      <c r="D33" s="10">
        <f t="shared" si="0"/>
        <v>10</v>
      </c>
      <c r="E33" s="10">
        <f t="shared" si="1"/>
        <v>2774</v>
      </c>
      <c r="F33" s="11">
        <v>0</v>
      </c>
      <c r="G33" s="12">
        <f>150+138+114</f>
        <v>402</v>
      </c>
      <c r="H33" s="13">
        <v>0</v>
      </c>
      <c r="I33" s="13">
        <f>106+155+176</f>
        <v>437</v>
      </c>
      <c r="J33" s="11">
        <v>1</v>
      </c>
      <c r="K33" s="11">
        <f>139+163+181</f>
        <v>483</v>
      </c>
      <c r="L33" s="13">
        <v>5</v>
      </c>
      <c r="M33" s="13">
        <f>237+169+180</f>
        <v>586</v>
      </c>
      <c r="N33" s="11">
        <v>0</v>
      </c>
      <c r="O33" s="11">
        <f>172+158+110</f>
        <v>440</v>
      </c>
      <c r="P33" s="13">
        <v>4</v>
      </c>
      <c r="Q33" s="13">
        <f>124+168+134</f>
        <v>426</v>
      </c>
    </row>
    <row r="34" spans="1:17" x14ac:dyDescent="0.25">
      <c r="A34" s="9">
        <v>32</v>
      </c>
      <c r="B34" s="21">
        <v>14</v>
      </c>
      <c r="C34" s="19" t="s">
        <v>74</v>
      </c>
      <c r="D34" s="10">
        <f t="shared" si="0"/>
        <v>9.5</v>
      </c>
      <c r="E34" s="10">
        <f t="shared" si="1"/>
        <v>2930</v>
      </c>
      <c r="F34" s="15">
        <v>1.5</v>
      </c>
      <c r="G34" s="15">
        <f>119+165+142</f>
        <v>426</v>
      </c>
      <c r="H34" s="16">
        <v>5</v>
      </c>
      <c r="I34" s="16">
        <f>192+182+164</f>
        <v>538</v>
      </c>
      <c r="J34" s="15">
        <v>0</v>
      </c>
      <c r="K34" s="15">
        <f>155+153+202</f>
        <v>510</v>
      </c>
      <c r="L34" s="16">
        <v>2</v>
      </c>
      <c r="M34" s="16">
        <f>152+148+173</f>
        <v>473</v>
      </c>
      <c r="N34" s="15">
        <v>1</v>
      </c>
      <c r="O34" s="15">
        <f>190+158+185</f>
        <v>533</v>
      </c>
      <c r="P34" s="16">
        <v>0</v>
      </c>
      <c r="Q34" s="16">
        <f>130+128+192</f>
        <v>450</v>
      </c>
    </row>
    <row r="35" spans="1:17" x14ac:dyDescent="0.25">
      <c r="A35" s="9">
        <v>33</v>
      </c>
      <c r="B35" s="21">
        <v>15</v>
      </c>
      <c r="C35" s="19" t="s">
        <v>68</v>
      </c>
      <c r="D35" s="10">
        <f t="shared" si="0"/>
        <v>8.5</v>
      </c>
      <c r="E35" s="10">
        <f t="shared" si="1"/>
        <v>2618</v>
      </c>
      <c r="F35" s="11">
        <v>1</v>
      </c>
      <c r="G35" s="12">
        <f>101+113+180</f>
        <v>394</v>
      </c>
      <c r="H35" s="13">
        <v>0</v>
      </c>
      <c r="I35" s="13">
        <f>134+131+127</f>
        <v>392</v>
      </c>
      <c r="J35" s="11">
        <v>1</v>
      </c>
      <c r="K35" s="11">
        <f>137+146+168</f>
        <v>451</v>
      </c>
      <c r="L35" s="13">
        <v>1</v>
      </c>
      <c r="M35" s="13">
        <f>134+148+154</f>
        <v>436</v>
      </c>
      <c r="N35" s="11">
        <v>4.5</v>
      </c>
      <c r="O35" s="11">
        <f>127+149+242</f>
        <v>518</v>
      </c>
      <c r="P35" s="13">
        <v>1</v>
      </c>
      <c r="Q35" s="13">
        <f>110+145+172</f>
        <v>427</v>
      </c>
    </row>
    <row r="36" spans="1:17" x14ac:dyDescent="0.25">
      <c r="A36" s="9">
        <v>34</v>
      </c>
      <c r="B36" s="21">
        <v>16</v>
      </c>
      <c r="C36" s="19" t="s">
        <v>59</v>
      </c>
      <c r="D36" s="10">
        <f t="shared" si="0"/>
        <v>8</v>
      </c>
      <c r="E36" s="10">
        <f t="shared" si="1"/>
        <v>2878</v>
      </c>
      <c r="F36" s="11">
        <v>1</v>
      </c>
      <c r="G36" s="12">
        <f>198+106+162</f>
        <v>466</v>
      </c>
      <c r="H36" s="13">
        <v>1</v>
      </c>
      <c r="I36" s="13">
        <f>176+123+122</f>
        <v>421</v>
      </c>
      <c r="J36" s="14">
        <v>1</v>
      </c>
      <c r="K36" s="14">
        <f>149+215+185</f>
        <v>549</v>
      </c>
      <c r="L36" s="13">
        <v>4</v>
      </c>
      <c r="M36" s="13">
        <f>244+148+181</f>
        <v>573</v>
      </c>
      <c r="N36" s="12">
        <v>0</v>
      </c>
      <c r="O36" s="12">
        <f>147+141+168</f>
        <v>456</v>
      </c>
      <c r="P36" s="13">
        <v>1</v>
      </c>
      <c r="Q36" s="13">
        <f>110+122+181</f>
        <v>413</v>
      </c>
    </row>
    <row r="37" spans="1:17" x14ac:dyDescent="0.25">
      <c r="A37" s="15">
        <v>35</v>
      </c>
      <c r="B37" s="21">
        <v>17</v>
      </c>
      <c r="C37" s="15" t="s">
        <v>65</v>
      </c>
      <c r="D37" s="10">
        <f t="shared" si="0"/>
        <v>5</v>
      </c>
      <c r="E37" s="10">
        <f t="shared" si="1"/>
        <v>2395</v>
      </c>
      <c r="F37" s="15">
        <v>4</v>
      </c>
      <c r="G37" s="15">
        <f>123+142+170</f>
        <v>435</v>
      </c>
      <c r="H37" s="16">
        <v>0</v>
      </c>
      <c r="I37" s="16">
        <f>133+167+117</f>
        <v>417</v>
      </c>
      <c r="J37" s="15">
        <v>1</v>
      </c>
      <c r="K37" s="15">
        <f>133+142+157</f>
        <v>432</v>
      </c>
      <c r="L37" s="16">
        <v>0</v>
      </c>
      <c r="M37" s="16">
        <f>141+121+93</f>
        <v>355</v>
      </c>
      <c r="N37" s="15">
        <v>0</v>
      </c>
      <c r="O37" s="15">
        <f>127+101+145</f>
        <v>373</v>
      </c>
      <c r="P37" s="16">
        <v>0</v>
      </c>
      <c r="Q37" s="16">
        <f>109+126+148</f>
        <v>383</v>
      </c>
    </row>
    <row r="38" spans="1:17" x14ac:dyDescent="0.25">
      <c r="A38" s="15">
        <v>36</v>
      </c>
      <c r="B38" s="21">
        <v>18</v>
      </c>
      <c r="C38" s="15" t="s">
        <v>90</v>
      </c>
      <c r="D38" s="10">
        <f t="shared" si="0"/>
        <v>0</v>
      </c>
      <c r="E38" s="10">
        <f t="shared" si="1"/>
        <v>0</v>
      </c>
      <c r="F38" s="11">
        <v>0</v>
      </c>
      <c r="G38" s="12">
        <v>0</v>
      </c>
      <c r="H38" s="13">
        <v>0</v>
      </c>
      <c r="I38" s="13">
        <v>0</v>
      </c>
      <c r="J38" s="11">
        <v>0</v>
      </c>
      <c r="K38" s="11">
        <v>0</v>
      </c>
      <c r="L38" s="13">
        <v>0</v>
      </c>
      <c r="M38" s="13">
        <v>0</v>
      </c>
      <c r="N38" s="11">
        <v>0</v>
      </c>
      <c r="O38" s="11">
        <v>0</v>
      </c>
      <c r="P38" s="13">
        <v>0</v>
      </c>
      <c r="Q38" s="13">
        <v>0</v>
      </c>
    </row>
  </sheetData>
  <sortState xmlns:xlrd2="http://schemas.microsoft.com/office/spreadsheetml/2017/richdata2" ref="C3:Q38">
    <sortCondition descending="1" ref="D3:D38"/>
    <sortCondition descending="1" ref="E3:E38"/>
  </sortState>
  <mergeCells count="3">
    <mergeCell ref="A1:A2"/>
    <mergeCell ref="C1:C2"/>
    <mergeCell ref="B1:B2"/>
  </mergeCells>
  <pageMargins left="0.7" right="0.7" top="0.75" bottom="0.75" header="0.3" footer="0.3"/>
  <pageSetup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22" workbookViewId="0">
      <selection activeCell="G3" sqref="G3:G38"/>
    </sheetView>
  </sheetViews>
  <sheetFormatPr defaultColWidth="14" defaultRowHeight="30.75" customHeight="1" x14ac:dyDescent="0.25"/>
  <cols>
    <col min="1" max="16384" width="14" style="1"/>
  </cols>
  <sheetData>
    <row r="1" spans="1:7" ht="30.75" customHeight="1" x14ac:dyDescent="0.25">
      <c r="A1" s="29" t="s">
        <v>9</v>
      </c>
      <c r="B1" s="29" t="s">
        <v>13</v>
      </c>
      <c r="C1" s="29" t="s">
        <v>14</v>
      </c>
      <c r="D1" s="29" t="s">
        <v>15</v>
      </c>
      <c r="E1" s="29" t="s">
        <v>16</v>
      </c>
      <c r="F1" s="29" t="s">
        <v>17</v>
      </c>
      <c r="G1" s="29" t="s">
        <v>18</v>
      </c>
    </row>
    <row r="2" spans="1:7" ht="30.75" customHeight="1" x14ac:dyDescent="0.25">
      <c r="A2" s="29"/>
      <c r="B2" s="29"/>
      <c r="C2" s="29"/>
      <c r="D2" s="29"/>
      <c r="E2" s="29"/>
      <c r="F2" s="29"/>
      <c r="G2" s="29"/>
    </row>
    <row r="3" spans="1:7" ht="30.75" customHeight="1" x14ac:dyDescent="0.25">
      <c r="A3" s="2" t="s">
        <v>19</v>
      </c>
      <c r="B3" s="2">
        <v>9</v>
      </c>
      <c r="C3" s="3">
        <v>41</v>
      </c>
      <c r="D3" s="3">
        <v>35</v>
      </c>
      <c r="E3" s="3">
        <v>31</v>
      </c>
      <c r="F3" s="3">
        <v>25</v>
      </c>
      <c r="G3" s="3">
        <v>21</v>
      </c>
    </row>
    <row r="4" spans="1:7" ht="30.75" customHeight="1" x14ac:dyDescent="0.25">
      <c r="A4" s="2" t="s">
        <v>20</v>
      </c>
      <c r="B4" s="2">
        <v>10</v>
      </c>
      <c r="C4" s="3">
        <v>42</v>
      </c>
      <c r="D4" s="3">
        <v>36</v>
      </c>
      <c r="E4" s="3">
        <v>32</v>
      </c>
      <c r="F4" s="3">
        <v>26</v>
      </c>
      <c r="G4" s="3">
        <v>22</v>
      </c>
    </row>
    <row r="5" spans="1:7" ht="30.75" customHeight="1" x14ac:dyDescent="0.25">
      <c r="A5" s="3" t="s">
        <v>21</v>
      </c>
      <c r="B5" s="3">
        <v>11</v>
      </c>
      <c r="C5" s="3">
        <v>43</v>
      </c>
      <c r="D5" s="3">
        <v>37</v>
      </c>
      <c r="E5" s="3">
        <v>33</v>
      </c>
      <c r="F5" s="3">
        <v>27</v>
      </c>
      <c r="G5" s="3">
        <v>23</v>
      </c>
    </row>
    <row r="6" spans="1:7" ht="30.75" customHeight="1" x14ac:dyDescent="0.25">
      <c r="A6" s="3" t="s">
        <v>22</v>
      </c>
      <c r="B6" s="3">
        <v>12</v>
      </c>
      <c r="C6" s="3">
        <v>44</v>
      </c>
      <c r="D6" s="3">
        <v>38</v>
      </c>
      <c r="E6" s="3">
        <v>34</v>
      </c>
      <c r="F6" s="3">
        <v>28</v>
      </c>
      <c r="G6" s="3">
        <v>24</v>
      </c>
    </row>
    <row r="7" spans="1:7" ht="30.75" customHeight="1" x14ac:dyDescent="0.25">
      <c r="A7" s="3" t="s">
        <v>23</v>
      </c>
      <c r="B7" s="3">
        <v>13</v>
      </c>
      <c r="C7" s="3">
        <v>45</v>
      </c>
      <c r="D7" s="3">
        <v>39</v>
      </c>
      <c r="E7" s="3">
        <v>35</v>
      </c>
      <c r="F7" s="3">
        <v>29</v>
      </c>
      <c r="G7" s="3">
        <v>25</v>
      </c>
    </row>
    <row r="8" spans="1:7" ht="30.75" customHeight="1" x14ac:dyDescent="0.25">
      <c r="A8" s="3" t="s">
        <v>24</v>
      </c>
      <c r="B8" s="3">
        <v>14</v>
      </c>
      <c r="C8" s="3">
        <v>46</v>
      </c>
      <c r="D8" s="3">
        <v>40</v>
      </c>
      <c r="E8" s="3">
        <v>36</v>
      </c>
      <c r="F8" s="3">
        <v>30</v>
      </c>
      <c r="G8" s="3">
        <v>26</v>
      </c>
    </row>
    <row r="9" spans="1:7" ht="30.75" customHeight="1" x14ac:dyDescent="0.25">
      <c r="A9" s="3" t="s">
        <v>25</v>
      </c>
      <c r="B9" s="3">
        <v>15</v>
      </c>
      <c r="C9" s="3">
        <v>9</v>
      </c>
      <c r="D9" s="3">
        <v>41</v>
      </c>
      <c r="E9" s="3">
        <v>37</v>
      </c>
      <c r="F9" s="3">
        <v>31</v>
      </c>
      <c r="G9" s="3">
        <v>27</v>
      </c>
    </row>
    <row r="10" spans="1:7" ht="30.75" customHeight="1" x14ac:dyDescent="0.25">
      <c r="A10" s="3" t="s">
        <v>26</v>
      </c>
      <c r="B10" s="3">
        <v>16</v>
      </c>
      <c r="C10" s="3">
        <v>10</v>
      </c>
      <c r="D10" s="3">
        <v>42</v>
      </c>
      <c r="E10" s="3">
        <v>38</v>
      </c>
      <c r="F10" s="3">
        <v>32</v>
      </c>
      <c r="G10" s="3">
        <v>28</v>
      </c>
    </row>
    <row r="11" spans="1:7" ht="30.75" customHeight="1" x14ac:dyDescent="0.25">
      <c r="A11" s="3" t="s">
        <v>27</v>
      </c>
      <c r="B11" s="3">
        <v>17</v>
      </c>
      <c r="C11" s="3">
        <v>11</v>
      </c>
      <c r="D11" s="3">
        <v>43</v>
      </c>
      <c r="E11" s="3">
        <v>39</v>
      </c>
      <c r="F11" s="3">
        <v>33</v>
      </c>
      <c r="G11" s="3">
        <v>29</v>
      </c>
    </row>
    <row r="12" spans="1:7" ht="30.75" customHeight="1" x14ac:dyDescent="0.25">
      <c r="A12" s="3" t="s">
        <v>28</v>
      </c>
      <c r="B12" s="3">
        <v>18</v>
      </c>
      <c r="C12" s="3">
        <v>12</v>
      </c>
      <c r="D12" s="3">
        <v>44</v>
      </c>
      <c r="E12" s="3">
        <v>40</v>
      </c>
      <c r="F12" s="3">
        <v>34</v>
      </c>
      <c r="G12" s="3">
        <v>30</v>
      </c>
    </row>
    <row r="13" spans="1:7" ht="30.75" customHeight="1" x14ac:dyDescent="0.25">
      <c r="A13" s="3" t="s">
        <v>29</v>
      </c>
      <c r="B13" s="3">
        <v>21</v>
      </c>
      <c r="C13" s="3">
        <v>13</v>
      </c>
      <c r="D13" s="3">
        <v>45</v>
      </c>
      <c r="E13" s="3">
        <v>41</v>
      </c>
      <c r="F13" s="3">
        <v>35</v>
      </c>
      <c r="G13" s="3">
        <v>31</v>
      </c>
    </row>
    <row r="14" spans="1:7" ht="30.75" customHeight="1" x14ac:dyDescent="0.25">
      <c r="A14" s="3" t="s">
        <v>30</v>
      </c>
      <c r="B14" s="3">
        <v>22</v>
      </c>
      <c r="C14" s="3">
        <v>14</v>
      </c>
      <c r="D14" s="3">
        <v>46</v>
      </c>
      <c r="E14" s="3">
        <v>42</v>
      </c>
      <c r="F14" s="3">
        <v>36</v>
      </c>
      <c r="G14" s="3">
        <v>32</v>
      </c>
    </row>
    <row r="15" spans="1:7" ht="30.75" customHeight="1" x14ac:dyDescent="0.25">
      <c r="A15" s="3" t="s">
        <v>31</v>
      </c>
      <c r="B15" s="3">
        <v>23</v>
      </c>
      <c r="C15" s="3">
        <v>15</v>
      </c>
      <c r="D15" s="3">
        <v>9</v>
      </c>
      <c r="E15" s="3">
        <v>43</v>
      </c>
      <c r="F15" s="3">
        <v>37</v>
      </c>
      <c r="G15" s="3">
        <v>33</v>
      </c>
    </row>
    <row r="16" spans="1:7" ht="30.75" customHeight="1" x14ac:dyDescent="0.25">
      <c r="A16" s="3" t="s">
        <v>32</v>
      </c>
      <c r="B16" s="3">
        <v>24</v>
      </c>
      <c r="C16" s="3">
        <v>16</v>
      </c>
      <c r="D16" s="3">
        <v>10</v>
      </c>
      <c r="E16" s="3">
        <v>44</v>
      </c>
      <c r="F16" s="3">
        <v>38</v>
      </c>
      <c r="G16" s="3">
        <v>34</v>
      </c>
    </row>
    <row r="17" spans="1:7" ht="30.75" customHeight="1" x14ac:dyDescent="0.25">
      <c r="A17" s="3" t="s">
        <v>33</v>
      </c>
      <c r="B17" s="3">
        <v>25</v>
      </c>
      <c r="C17" s="3">
        <v>17</v>
      </c>
      <c r="D17" s="3">
        <v>11</v>
      </c>
      <c r="E17" s="3">
        <v>45</v>
      </c>
      <c r="F17" s="3">
        <v>39</v>
      </c>
      <c r="G17" s="3">
        <v>35</v>
      </c>
    </row>
    <row r="18" spans="1:7" ht="30.75" customHeight="1" x14ac:dyDescent="0.25">
      <c r="A18" s="3" t="s">
        <v>34</v>
      </c>
      <c r="B18" s="3">
        <v>26</v>
      </c>
      <c r="C18" s="3">
        <v>18</v>
      </c>
      <c r="D18" s="3">
        <v>12</v>
      </c>
      <c r="E18" s="3">
        <v>46</v>
      </c>
      <c r="F18" s="3">
        <v>40</v>
      </c>
      <c r="G18" s="3">
        <v>36</v>
      </c>
    </row>
    <row r="19" spans="1:7" ht="30.75" customHeight="1" x14ac:dyDescent="0.25">
      <c r="A19" s="3" t="s">
        <v>35</v>
      </c>
      <c r="B19" s="3">
        <v>27</v>
      </c>
      <c r="C19" s="3">
        <v>21</v>
      </c>
      <c r="D19" s="3">
        <v>13</v>
      </c>
      <c r="E19" s="3">
        <v>9</v>
      </c>
      <c r="F19" s="3">
        <v>41</v>
      </c>
      <c r="G19" s="3">
        <v>37</v>
      </c>
    </row>
    <row r="20" spans="1:7" ht="30.75" customHeight="1" x14ac:dyDescent="0.25">
      <c r="A20" s="3" t="s">
        <v>36</v>
      </c>
      <c r="B20" s="3">
        <v>28</v>
      </c>
      <c r="C20" s="3">
        <v>22</v>
      </c>
      <c r="D20" s="3">
        <v>14</v>
      </c>
      <c r="E20" s="3">
        <v>10</v>
      </c>
      <c r="F20" s="3">
        <v>42</v>
      </c>
      <c r="G20" s="3">
        <v>38</v>
      </c>
    </row>
    <row r="21" spans="1:7" ht="30.75" customHeight="1" x14ac:dyDescent="0.25">
      <c r="A21" s="3" t="s">
        <v>37</v>
      </c>
      <c r="B21" s="3">
        <v>29</v>
      </c>
      <c r="C21" s="3">
        <v>23</v>
      </c>
      <c r="D21" s="3">
        <v>15</v>
      </c>
      <c r="E21" s="3">
        <v>11</v>
      </c>
      <c r="F21" s="3">
        <v>43</v>
      </c>
      <c r="G21" s="3">
        <v>39</v>
      </c>
    </row>
    <row r="22" spans="1:7" ht="30.75" customHeight="1" x14ac:dyDescent="0.25">
      <c r="A22" s="3" t="s">
        <v>38</v>
      </c>
      <c r="B22" s="3">
        <v>30</v>
      </c>
      <c r="C22" s="3">
        <v>24</v>
      </c>
      <c r="D22" s="3">
        <v>16</v>
      </c>
      <c r="E22" s="3">
        <v>12</v>
      </c>
      <c r="F22" s="3">
        <v>44</v>
      </c>
      <c r="G22" s="3">
        <v>40</v>
      </c>
    </row>
    <row r="23" spans="1:7" ht="30.75" customHeight="1" x14ac:dyDescent="0.25">
      <c r="A23" s="3" t="s">
        <v>39</v>
      </c>
      <c r="B23" s="3">
        <v>31</v>
      </c>
      <c r="C23" s="3">
        <v>25</v>
      </c>
      <c r="D23" s="3">
        <v>17</v>
      </c>
      <c r="E23" s="3">
        <v>13</v>
      </c>
      <c r="F23" s="3">
        <v>45</v>
      </c>
      <c r="G23" s="3">
        <v>41</v>
      </c>
    </row>
    <row r="24" spans="1:7" ht="30.75" customHeight="1" x14ac:dyDescent="0.25">
      <c r="A24" s="3" t="s">
        <v>40</v>
      </c>
      <c r="B24" s="3">
        <v>32</v>
      </c>
      <c r="C24" s="3">
        <v>26</v>
      </c>
      <c r="D24" s="3">
        <v>18</v>
      </c>
      <c r="E24" s="3">
        <v>14</v>
      </c>
      <c r="F24" s="3">
        <v>46</v>
      </c>
      <c r="G24" s="3">
        <v>42</v>
      </c>
    </row>
    <row r="25" spans="1:7" ht="30.75" customHeight="1" x14ac:dyDescent="0.25">
      <c r="A25" s="3" t="s">
        <v>41</v>
      </c>
      <c r="B25" s="3">
        <v>33</v>
      </c>
      <c r="C25" s="3">
        <v>27</v>
      </c>
      <c r="D25" s="3">
        <v>21</v>
      </c>
      <c r="E25" s="3">
        <v>15</v>
      </c>
      <c r="F25" s="3">
        <v>9</v>
      </c>
      <c r="G25" s="3">
        <v>43</v>
      </c>
    </row>
    <row r="26" spans="1:7" ht="30.75" customHeight="1" x14ac:dyDescent="0.25">
      <c r="A26" s="3" t="s">
        <v>42</v>
      </c>
      <c r="B26" s="3">
        <v>34</v>
      </c>
      <c r="C26" s="3">
        <v>28</v>
      </c>
      <c r="D26" s="3">
        <v>22</v>
      </c>
      <c r="E26" s="3">
        <v>16</v>
      </c>
      <c r="F26" s="3">
        <v>10</v>
      </c>
      <c r="G26" s="3">
        <v>44</v>
      </c>
    </row>
    <row r="27" spans="1:7" ht="30.75" customHeight="1" x14ac:dyDescent="0.25">
      <c r="A27" s="3" t="s">
        <v>77</v>
      </c>
      <c r="B27" s="3">
        <v>35</v>
      </c>
      <c r="C27" s="3">
        <v>29</v>
      </c>
      <c r="D27" s="3">
        <v>23</v>
      </c>
      <c r="E27" s="3">
        <v>17</v>
      </c>
      <c r="F27" s="3">
        <v>11</v>
      </c>
      <c r="G27" s="3">
        <v>45</v>
      </c>
    </row>
    <row r="28" spans="1:7" ht="30.75" customHeight="1" x14ac:dyDescent="0.25">
      <c r="A28" s="3" t="s">
        <v>78</v>
      </c>
      <c r="B28" s="3">
        <v>36</v>
      </c>
      <c r="C28" s="3">
        <v>30</v>
      </c>
      <c r="D28" s="3">
        <v>24</v>
      </c>
      <c r="E28" s="3">
        <v>18</v>
      </c>
      <c r="F28" s="3">
        <v>12</v>
      </c>
      <c r="G28" s="3">
        <v>46</v>
      </c>
    </row>
    <row r="29" spans="1:7" ht="30.75" customHeight="1" x14ac:dyDescent="0.25">
      <c r="A29" s="3" t="s">
        <v>79</v>
      </c>
      <c r="B29" s="3">
        <v>37</v>
      </c>
      <c r="C29" s="3">
        <v>31</v>
      </c>
      <c r="D29" s="3">
        <v>25</v>
      </c>
      <c r="E29" s="3">
        <v>21</v>
      </c>
      <c r="F29" s="3">
        <v>13</v>
      </c>
      <c r="G29" s="3">
        <v>9</v>
      </c>
    </row>
    <row r="30" spans="1:7" ht="30.75" customHeight="1" x14ac:dyDescent="0.25">
      <c r="A30" s="3" t="s">
        <v>80</v>
      </c>
      <c r="B30" s="3">
        <v>38</v>
      </c>
      <c r="C30" s="3">
        <v>32</v>
      </c>
      <c r="D30" s="3">
        <v>26</v>
      </c>
      <c r="E30" s="3">
        <v>22</v>
      </c>
      <c r="F30" s="3">
        <v>14</v>
      </c>
      <c r="G30" s="3">
        <v>10</v>
      </c>
    </row>
    <row r="31" spans="1:7" ht="30.75" customHeight="1" x14ac:dyDescent="0.25">
      <c r="A31" s="3" t="s">
        <v>81</v>
      </c>
      <c r="B31" s="3">
        <v>39</v>
      </c>
      <c r="C31" s="3">
        <v>33</v>
      </c>
      <c r="D31" s="3">
        <v>27</v>
      </c>
      <c r="E31" s="3">
        <v>23</v>
      </c>
      <c r="F31" s="3">
        <v>15</v>
      </c>
      <c r="G31" s="3">
        <v>11</v>
      </c>
    </row>
    <row r="32" spans="1:7" ht="30.75" customHeight="1" x14ac:dyDescent="0.25">
      <c r="A32" s="3" t="s">
        <v>82</v>
      </c>
      <c r="B32" s="3">
        <v>40</v>
      </c>
      <c r="C32" s="3">
        <v>34</v>
      </c>
      <c r="D32" s="3">
        <v>28</v>
      </c>
      <c r="E32" s="3">
        <v>24</v>
      </c>
      <c r="F32" s="3">
        <v>16</v>
      </c>
      <c r="G32" s="3">
        <v>12</v>
      </c>
    </row>
    <row r="33" spans="1:7" ht="30.75" customHeight="1" x14ac:dyDescent="0.25">
      <c r="A33" s="3" t="s">
        <v>83</v>
      </c>
      <c r="B33" s="3">
        <v>41</v>
      </c>
      <c r="C33" s="3">
        <v>35</v>
      </c>
      <c r="D33" s="3">
        <v>29</v>
      </c>
      <c r="E33" s="3">
        <v>25</v>
      </c>
      <c r="F33" s="3">
        <v>17</v>
      </c>
      <c r="G33" s="3">
        <v>13</v>
      </c>
    </row>
    <row r="34" spans="1:7" ht="30.75" customHeight="1" x14ac:dyDescent="0.25">
      <c r="A34" s="3" t="s">
        <v>84</v>
      </c>
      <c r="B34" s="3">
        <v>42</v>
      </c>
      <c r="C34" s="3">
        <v>36</v>
      </c>
      <c r="D34" s="3">
        <v>30</v>
      </c>
      <c r="E34" s="3">
        <v>26</v>
      </c>
      <c r="F34" s="3">
        <v>18</v>
      </c>
      <c r="G34" s="3">
        <v>14</v>
      </c>
    </row>
    <row r="35" spans="1:7" ht="30.75" customHeight="1" x14ac:dyDescent="0.25">
      <c r="A35" s="3" t="s">
        <v>85</v>
      </c>
      <c r="B35" s="3">
        <v>43</v>
      </c>
      <c r="C35" s="3">
        <v>37</v>
      </c>
      <c r="D35" s="3">
        <v>31</v>
      </c>
      <c r="E35" s="3">
        <v>27</v>
      </c>
      <c r="F35" s="3">
        <v>21</v>
      </c>
      <c r="G35" s="3">
        <v>15</v>
      </c>
    </row>
    <row r="36" spans="1:7" ht="30.75" customHeight="1" x14ac:dyDescent="0.25">
      <c r="A36" s="3" t="s">
        <v>86</v>
      </c>
      <c r="B36" s="3">
        <v>44</v>
      </c>
      <c r="C36" s="3">
        <v>38</v>
      </c>
      <c r="D36" s="3">
        <v>32</v>
      </c>
      <c r="E36" s="3">
        <v>28</v>
      </c>
      <c r="F36" s="3">
        <v>22</v>
      </c>
      <c r="G36" s="3">
        <v>16</v>
      </c>
    </row>
    <row r="37" spans="1:7" ht="30.75" customHeight="1" x14ac:dyDescent="0.25">
      <c r="A37" s="3" t="s">
        <v>87</v>
      </c>
      <c r="B37" s="3">
        <v>45</v>
      </c>
      <c r="C37" s="3">
        <v>39</v>
      </c>
      <c r="D37" s="3">
        <v>33</v>
      </c>
      <c r="E37" s="3">
        <v>29</v>
      </c>
      <c r="F37" s="3">
        <v>23</v>
      </c>
      <c r="G37" s="3">
        <v>17</v>
      </c>
    </row>
    <row r="38" spans="1:7" ht="30.75" customHeight="1" x14ac:dyDescent="0.25">
      <c r="A38" s="3" t="s">
        <v>88</v>
      </c>
      <c r="B38" s="3">
        <v>46</v>
      </c>
      <c r="C38" s="3">
        <v>40</v>
      </c>
      <c r="D38" s="3">
        <v>34</v>
      </c>
      <c r="E38" s="3">
        <v>30</v>
      </c>
      <c r="F38" s="3">
        <v>24</v>
      </c>
      <c r="G38" s="3">
        <v>18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9" type="noConversion"/>
  <printOptions horizontalCentered="1" verticalCentered="1"/>
  <pageMargins left="0.7" right="0.7" top="0.75" bottom="0.75" header="0.3" footer="0.3"/>
  <pageSetup scale="6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CD820-3C28-462C-8618-37120D9DD5B7}">
  <sheetPr>
    <pageSetUpPr fitToPage="1"/>
  </sheetPr>
  <dimension ref="A1:C10"/>
  <sheetViews>
    <sheetView workbookViewId="0">
      <selection activeCell="F2" sqref="F2"/>
    </sheetView>
  </sheetViews>
  <sheetFormatPr defaultColWidth="25.28515625" defaultRowHeight="61.5" x14ac:dyDescent="0.9"/>
  <cols>
    <col min="1" max="1" width="17.140625" style="23" bestFit="1" customWidth="1"/>
    <col min="2" max="2" width="40.28515625" style="23" bestFit="1" customWidth="1"/>
    <col min="3" max="3" width="44.5703125" style="23" bestFit="1" customWidth="1"/>
    <col min="4" max="5" width="25.28515625" style="23"/>
    <col min="6" max="6" width="21.28515625" style="23" bestFit="1" customWidth="1"/>
    <col min="7" max="16384" width="25.28515625" style="23"/>
  </cols>
  <sheetData>
    <row r="1" spans="1:3" x14ac:dyDescent="0.9">
      <c r="A1" s="22"/>
      <c r="B1" s="22" t="s">
        <v>10</v>
      </c>
      <c r="C1" s="22" t="s">
        <v>89</v>
      </c>
    </row>
    <row r="2" spans="1:3" x14ac:dyDescent="0.9">
      <c r="A2" s="22" t="s">
        <v>19</v>
      </c>
      <c r="B2" s="24">
        <v>1797</v>
      </c>
      <c r="C2" s="24">
        <f>B2/3</f>
        <v>599</v>
      </c>
    </row>
    <row r="3" spans="1:3" x14ac:dyDescent="0.9">
      <c r="A3" s="22" t="s">
        <v>20</v>
      </c>
      <c r="B3" s="24">
        <v>1200</v>
      </c>
      <c r="C3" s="24">
        <f t="shared" ref="C3:C8" si="0">B3/3</f>
        <v>400</v>
      </c>
    </row>
    <row r="4" spans="1:3" x14ac:dyDescent="0.9">
      <c r="A4" s="22" t="s">
        <v>21</v>
      </c>
      <c r="B4" s="24">
        <v>786</v>
      </c>
      <c r="C4" s="24">
        <f t="shared" si="0"/>
        <v>262</v>
      </c>
    </row>
    <row r="5" spans="1:3" x14ac:dyDescent="0.9">
      <c r="A5" s="22" t="s">
        <v>22</v>
      </c>
      <c r="B5" s="24">
        <v>786</v>
      </c>
      <c r="C5" s="24">
        <f t="shared" si="0"/>
        <v>262</v>
      </c>
    </row>
    <row r="6" spans="1:3" x14ac:dyDescent="0.9">
      <c r="A6" s="22" t="s">
        <v>23</v>
      </c>
      <c r="B6" s="24">
        <v>570</v>
      </c>
      <c r="C6" s="24">
        <f t="shared" si="0"/>
        <v>190</v>
      </c>
    </row>
    <row r="7" spans="1:3" x14ac:dyDescent="0.9">
      <c r="A7" s="22" t="s">
        <v>24</v>
      </c>
      <c r="B7" s="24">
        <v>510</v>
      </c>
      <c r="C7" s="24">
        <f t="shared" si="0"/>
        <v>170</v>
      </c>
    </row>
    <row r="8" spans="1:3" x14ac:dyDescent="0.9">
      <c r="A8" s="22" t="s">
        <v>25</v>
      </c>
      <c r="B8" s="24">
        <v>480</v>
      </c>
      <c r="C8" s="24">
        <f t="shared" si="0"/>
        <v>160</v>
      </c>
    </row>
    <row r="9" spans="1:3" x14ac:dyDescent="0.9">
      <c r="B9" s="25"/>
    </row>
    <row r="10" spans="1:3" x14ac:dyDescent="0.9">
      <c r="B10" s="25"/>
    </row>
  </sheetData>
  <phoneticPr fontId="9" type="noConversion"/>
  <printOptions horizontalCentered="1" verticalCentered="1"/>
  <pageMargins left="0.7" right="0.7" top="0.75" bottom="0.75" header="0.3" footer="0.3"/>
  <pageSetup scale="8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Score Entry</vt:lpstr>
      <vt:lpstr>Lane Cross</vt:lpstr>
      <vt:lpstr>Prize fund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H2M</dc:creator>
  <cp:lastModifiedBy>Steve Harman</cp:lastModifiedBy>
  <cp:lastPrinted>2022-01-02T21:33:52Z</cp:lastPrinted>
  <dcterms:created xsi:type="dcterms:W3CDTF">2019-01-01T12:17:23Z</dcterms:created>
  <dcterms:modified xsi:type="dcterms:W3CDTF">2022-01-02T23:06:22Z</dcterms:modified>
</cp:coreProperties>
</file>